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Zack\Dropbox\COMSA\COMSA TA\SRS Implementation Support &amp; Capacity Building\Step 4\"/>
    </mc:Choice>
  </mc:AlternateContent>
  <xr:revisionPtr revIDLastSave="0" documentId="13_ncr:1_{5670617D-24A0-493C-A6BE-BEDCFC88AD47}" xr6:coauthVersionLast="47" xr6:coauthVersionMax="47" xr10:uidLastSave="{00000000-0000-0000-0000-000000000000}"/>
  <bookViews>
    <workbookView xWindow="-110" yWindow="-110" windowWidth="19420" windowHeight="10420" activeTab="1" xr2:uid="{73BF16A5-3ED8-4159-8845-0A911E8400A2}"/>
  </bookViews>
  <sheets>
    <sheet name="Read Me" sheetId="2" r:id="rId1"/>
    <sheet name="Country data" sheetId="7" r:id="rId2"/>
    <sheet name="Sample size calculation" sheetId="5" r:id="rId3"/>
    <sheet name="CoD precision" sheetId="6"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D15" i="7"/>
  <c r="B23" i="6"/>
  <c r="B24" i="6"/>
  <c r="B22" i="6"/>
  <c r="B17" i="6"/>
  <c r="B10" i="6"/>
  <c r="B11" i="6"/>
  <c r="B12" i="6"/>
  <c r="B16" i="5"/>
  <c r="B12" i="5"/>
  <c r="B6" i="5"/>
  <c r="B7" i="5"/>
  <c r="B18" i="5"/>
  <c r="B21" i="6"/>
  <c r="B20" i="6"/>
  <c r="B15" i="6"/>
  <c r="B16" i="6"/>
  <c r="B18" i="6"/>
  <c r="B14" i="6"/>
  <c r="B9" i="6"/>
  <c r="B8" i="6"/>
  <c r="B9" i="5"/>
  <c r="B10" i="5"/>
  <c r="B11" i="5"/>
  <c r="B13" i="5"/>
  <c r="B14" i="5"/>
  <c r="B15" i="5"/>
  <c r="B17" i="5"/>
  <c r="B5" i="5"/>
  <c r="B8" i="5"/>
  <c r="B4" i="5"/>
  <c r="E6" i="6"/>
  <c r="D6" i="6"/>
  <c r="C6" i="6"/>
  <c r="B5" i="7" l="1"/>
  <c r="C5" i="7"/>
  <c r="D16" i="7" l="1"/>
  <c r="D17" i="7"/>
  <c r="D18" i="7"/>
  <c r="D19" i="7"/>
  <c r="D27" i="7"/>
  <c r="D23" i="7"/>
  <c r="F26" i="7"/>
  <c r="F16" i="7"/>
  <c r="D5" i="5" s="1"/>
  <c r="E5" i="5" s="1"/>
  <c r="F27" i="7"/>
  <c r="D16" i="5" s="1"/>
  <c r="E16" i="5" s="1"/>
  <c r="F17" i="7"/>
  <c r="F28" i="7"/>
  <c r="F18" i="7"/>
  <c r="F29" i="7"/>
  <c r="F19" i="7"/>
  <c r="D8" i="5" s="1"/>
  <c r="E8" i="5" s="1"/>
  <c r="F21" i="7"/>
  <c r="F22" i="7"/>
  <c r="F23" i="7"/>
  <c r="D12" i="5" s="1"/>
  <c r="E12" i="5" s="1"/>
  <c r="F24" i="7"/>
  <c r="D13" i="5" s="1"/>
  <c r="E13" i="5" s="1"/>
  <c r="D24" i="7"/>
  <c r="D29" i="7"/>
  <c r="D20" i="7"/>
  <c r="D22" i="7"/>
  <c r="D26" i="7"/>
  <c r="D28" i="7"/>
  <c r="D21" i="7"/>
  <c r="D25" i="7"/>
  <c r="F20" i="7"/>
  <c r="D9" i="5" s="1"/>
  <c r="E9" i="5" s="1"/>
  <c r="F25" i="7"/>
  <c r="F15" i="7"/>
  <c r="D4" i="5" s="1"/>
  <c r="E4" i="5" s="1"/>
  <c r="J13" i="5" l="1"/>
  <c r="K13" i="5" s="1"/>
  <c r="F13" i="5"/>
  <c r="D18" i="6" s="1"/>
  <c r="G13" i="5"/>
  <c r="E18" i="6" s="1"/>
  <c r="H13" i="5"/>
  <c r="I13" i="5" s="1"/>
  <c r="C18" i="6"/>
  <c r="N18" i="6" s="1"/>
  <c r="D18" i="5"/>
  <c r="E18" i="5" s="1"/>
  <c r="D7" i="5"/>
  <c r="E7" i="5" s="1"/>
  <c r="D6" i="5"/>
  <c r="E6" i="5" s="1"/>
  <c r="F16" i="5"/>
  <c r="G16" i="5"/>
  <c r="J16" i="5"/>
  <c r="K16" i="5" s="1"/>
  <c r="H16" i="5"/>
  <c r="I16" i="5" s="1"/>
  <c r="D11" i="5"/>
  <c r="E11" i="5" s="1"/>
  <c r="D10" i="5"/>
  <c r="E10" i="5" s="1"/>
  <c r="D15" i="5"/>
  <c r="E15" i="5" s="1"/>
  <c r="D14" i="5"/>
  <c r="E14" i="5" s="1"/>
  <c r="D17" i="5"/>
  <c r="E17" i="5" s="1"/>
  <c r="C22" i="6" s="1"/>
  <c r="J12" i="5"/>
  <c r="K12" i="5" s="1"/>
  <c r="G12" i="5"/>
  <c r="E17" i="6" s="1"/>
  <c r="F12" i="5"/>
  <c r="D17" i="6" s="1"/>
  <c r="C17" i="6"/>
  <c r="N17" i="6" s="1"/>
  <c r="H12" i="5"/>
  <c r="I12" i="5" s="1"/>
  <c r="G8" i="5"/>
  <c r="E12" i="6" s="1"/>
  <c r="H8" i="5"/>
  <c r="I8" i="5" s="1"/>
  <c r="J8" i="5"/>
  <c r="K8" i="5" s="1"/>
  <c r="F8" i="5"/>
  <c r="D12" i="6" s="1"/>
  <c r="C12" i="6"/>
  <c r="N12" i="6" s="1"/>
  <c r="H4" i="5"/>
  <c r="I4" i="5" s="1"/>
  <c r="J4" i="5"/>
  <c r="K4" i="5" s="1"/>
  <c r="G4" i="5"/>
  <c r="E8" i="6" s="1"/>
  <c r="L8" i="6" s="1"/>
  <c r="F4" i="5"/>
  <c r="H9" i="5"/>
  <c r="I9" i="5" s="1"/>
  <c r="G9" i="5"/>
  <c r="J9" i="5"/>
  <c r="K9" i="5" s="1"/>
  <c r="F9" i="5"/>
  <c r="D14" i="6" s="1"/>
  <c r="J14" i="6" s="1"/>
  <c r="G5" i="5"/>
  <c r="E9" i="6" s="1"/>
  <c r="L9" i="6" s="1"/>
  <c r="H5" i="5"/>
  <c r="I5" i="5" s="1"/>
  <c r="C9" i="6"/>
  <c r="J5" i="5"/>
  <c r="K5" i="5" s="1"/>
  <c r="F5" i="5"/>
  <c r="D9" i="6" s="1"/>
  <c r="J9" i="6" s="1"/>
  <c r="C16" i="6" l="1"/>
  <c r="F11" i="5"/>
  <c r="D16" i="6" s="1"/>
  <c r="J16" i="6" s="1"/>
  <c r="K16" i="6" s="1"/>
  <c r="H7" i="5"/>
  <c r="I7" i="5" s="1"/>
  <c r="C11" i="6"/>
  <c r="N11" i="6" s="1"/>
  <c r="J7" i="5"/>
  <c r="K7" i="5" s="1"/>
  <c r="G7" i="5"/>
  <c r="E11" i="6" s="1"/>
  <c r="F7" i="5"/>
  <c r="D11" i="6" s="1"/>
  <c r="E19" i="5"/>
  <c r="C24" i="6" s="1"/>
  <c r="N24" i="6" s="1"/>
  <c r="G18" i="5"/>
  <c r="E23" i="6" s="1"/>
  <c r="J18" i="5"/>
  <c r="K18" i="5" s="1"/>
  <c r="C23" i="6"/>
  <c r="N23" i="6" s="1"/>
  <c r="F18" i="5"/>
  <c r="D23" i="6" s="1"/>
  <c r="H18" i="5"/>
  <c r="I18" i="5" s="1"/>
  <c r="G10" i="5"/>
  <c r="E15" i="6" s="1"/>
  <c r="L15" i="6" s="1"/>
  <c r="M15" i="6" s="1"/>
  <c r="J10" i="5"/>
  <c r="K10" i="5" s="1"/>
  <c r="H10" i="5"/>
  <c r="I10" i="5" s="1"/>
  <c r="C15" i="6"/>
  <c r="F10" i="5"/>
  <c r="D15" i="6" s="1"/>
  <c r="J15" i="6" s="1"/>
  <c r="K15" i="6" s="1"/>
  <c r="J14" i="5"/>
  <c r="K14" i="5" s="1"/>
  <c r="H14" i="5"/>
  <c r="I14" i="5" s="1"/>
  <c r="G14" i="5"/>
  <c r="E20" i="6" s="1"/>
  <c r="L20" i="6" s="1"/>
  <c r="M20" i="6" s="1"/>
  <c r="F14" i="5"/>
  <c r="D20" i="6" s="1"/>
  <c r="J20" i="6" s="1"/>
  <c r="K20" i="6" s="1"/>
  <c r="C21" i="6"/>
  <c r="F15" i="5"/>
  <c r="D21" i="6" s="1"/>
  <c r="J21" i="6" s="1"/>
  <c r="K21" i="6" s="1"/>
  <c r="G15" i="5"/>
  <c r="E21" i="6" s="1"/>
  <c r="L21" i="6" s="1"/>
  <c r="M21" i="6" s="1"/>
  <c r="H15" i="5"/>
  <c r="I15" i="5" s="1"/>
  <c r="J15" i="5"/>
  <c r="K15" i="5" s="1"/>
  <c r="F17" i="5"/>
  <c r="D22" i="6" s="1"/>
  <c r="J22" i="6" s="1"/>
  <c r="K22" i="6" s="1"/>
  <c r="J17" i="5"/>
  <c r="K17" i="5" s="1"/>
  <c r="H17" i="5"/>
  <c r="I17" i="5" s="1"/>
  <c r="G17" i="5"/>
  <c r="E22" i="6" s="1"/>
  <c r="L22" i="6" s="1"/>
  <c r="M22" i="6" s="1"/>
  <c r="J11" i="5"/>
  <c r="K11" i="5" s="1"/>
  <c r="P12" i="6"/>
  <c r="L12" i="6"/>
  <c r="M12" i="6" s="1"/>
  <c r="H12" i="6"/>
  <c r="I12" i="6" s="1"/>
  <c r="J17" i="6"/>
  <c r="K17" i="6" s="1"/>
  <c r="O17" i="6"/>
  <c r="F17" i="6"/>
  <c r="G17" i="6" s="1"/>
  <c r="H11" i="5"/>
  <c r="I11" i="5" s="1"/>
  <c r="H17" i="6"/>
  <c r="I17" i="6" s="1"/>
  <c r="L17" i="6"/>
  <c r="M17" i="6" s="1"/>
  <c r="P17" i="6"/>
  <c r="C10" i="6"/>
  <c r="N10" i="6" s="1"/>
  <c r="F6" i="5"/>
  <c r="D10" i="6" s="1"/>
  <c r="J6" i="5"/>
  <c r="K6" i="5" s="1"/>
  <c r="H6" i="5"/>
  <c r="I6" i="5" s="1"/>
  <c r="G6" i="5"/>
  <c r="E10" i="6" s="1"/>
  <c r="P18" i="6"/>
  <c r="H18" i="6"/>
  <c r="I18" i="6" s="1"/>
  <c r="L18" i="6"/>
  <c r="M18" i="6" s="1"/>
  <c r="G11" i="5"/>
  <c r="E16" i="6" s="1"/>
  <c r="L16" i="6" s="1"/>
  <c r="O12" i="6"/>
  <c r="F12" i="6"/>
  <c r="G12" i="6" s="1"/>
  <c r="J12" i="6"/>
  <c r="K12" i="6" s="1"/>
  <c r="O18" i="6"/>
  <c r="J18" i="6"/>
  <c r="K18" i="6" s="1"/>
  <c r="F18" i="6"/>
  <c r="G18" i="6" s="1"/>
  <c r="H9" i="6"/>
  <c r="M9" i="6"/>
  <c r="P9" i="6"/>
  <c r="D8" i="6"/>
  <c r="J8" i="6" s="1"/>
  <c r="F14" i="6"/>
  <c r="K14" i="6"/>
  <c r="H20" i="6"/>
  <c r="M8" i="6"/>
  <c r="H8" i="6"/>
  <c r="P8" i="6"/>
  <c r="F9" i="6"/>
  <c r="K9" i="6"/>
  <c r="M16" i="6"/>
  <c r="H21" i="6"/>
  <c r="P16" i="6" l="1"/>
  <c r="H16" i="6"/>
  <c r="I16" i="6" s="1"/>
  <c r="O16" i="6"/>
  <c r="F16" i="6"/>
  <c r="G16" i="6" s="1"/>
  <c r="F21" i="6"/>
  <c r="P20" i="6"/>
  <c r="S20" i="6" s="1"/>
  <c r="P21" i="6"/>
  <c r="T21" i="6" s="1"/>
  <c r="F22" i="6"/>
  <c r="H15" i="6"/>
  <c r="I15" i="6" s="1"/>
  <c r="P22" i="6"/>
  <c r="P15" i="6"/>
  <c r="S15" i="6" s="1"/>
  <c r="H22" i="6"/>
  <c r="F20" i="6"/>
  <c r="F19" i="5"/>
  <c r="D24" i="6" s="1"/>
  <c r="O24" i="6" s="1"/>
  <c r="T12" i="6"/>
  <c r="S12" i="6"/>
  <c r="H23" i="6"/>
  <c r="I23" i="6" s="1"/>
  <c r="L23" i="6"/>
  <c r="M23" i="6" s="1"/>
  <c r="P23" i="6"/>
  <c r="F11" i="6"/>
  <c r="G11" i="6" s="1"/>
  <c r="J11" i="6"/>
  <c r="K11" i="6" s="1"/>
  <c r="O11" i="6"/>
  <c r="T9" i="6"/>
  <c r="S9" i="6"/>
  <c r="T18" i="6"/>
  <c r="S18" i="6"/>
  <c r="Q18" i="6"/>
  <c r="R18" i="6"/>
  <c r="P11" i="6"/>
  <c r="L11" i="6"/>
  <c r="M11" i="6" s="1"/>
  <c r="H11" i="6"/>
  <c r="I11" i="6" s="1"/>
  <c r="T17" i="6"/>
  <c r="S17" i="6"/>
  <c r="O15" i="6"/>
  <c r="Q17" i="6"/>
  <c r="R17" i="6"/>
  <c r="F10" i="6"/>
  <c r="G10" i="6" s="1"/>
  <c r="O10" i="6"/>
  <c r="J10" i="6"/>
  <c r="K10" i="6" s="1"/>
  <c r="O23" i="6"/>
  <c r="J23" i="6"/>
  <c r="K23" i="6" s="1"/>
  <c r="F23" i="6"/>
  <c r="G23" i="6" s="1"/>
  <c r="H10" i="6"/>
  <c r="I10" i="6" s="1"/>
  <c r="L10" i="6"/>
  <c r="M10" i="6" s="1"/>
  <c r="P10" i="6"/>
  <c r="F15" i="6"/>
  <c r="G15" i="6" s="1"/>
  <c r="Q12" i="6"/>
  <c r="R12" i="6"/>
  <c r="S8" i="6"/>
  <c r="T8" i="6"/>
  <c r="S22" i="6"/>
  <c r="T22" i="6"/>
  <c r="T20" i="6"/>
  <c r="Q16" i="6"/>
  <c r="R16" i="6"/>
  <c r="S16" i="6"/>
  <c r="T16" i="6"/>
  <c r="R15" i="6"/>
  <c r="Q15" i="6"/>
  <c r="F8" i="6"/>
  <c r="K8" i="6"/>
  <c r="T15" i="6" l="1"/>
  <c r="S21" i="6"/>
  <c r="F24" i="6"/>
  <c r="G24" i="6" s="1"/>
  <c r="J24" i="6"/>
  <c r="K24" i="6" s="1"/>
  <c r="S11" i="6"/>
  <c r="T11" i="6"/>
  <c r="S23" i="6"/>
  <c r="T23" i="6"/>
  <c r="Q11" i="6"/>
  <c r="R11" i="6"/>
  <c r="Q23" i="6"/>
  <c r="R23" i="6"/>
  <c r="R10" i="6"/>
  <c r="Q10" i="6"/>
  <c r="S10" i="6"/>
  <c r="T10" i="6"/>
  <c r="Q24" i="6"/>
  <c r="R24" i="6"/>
  <c r="B25" i="6"/>
  <c r="A7" i="6"/>
  <c r="C20" i="6" l="1"/>
  <c r="C19" i="6" s="1"/>
  <c r="C14" i="6"/>
  <c r="C8" i="6"/>
  <c r="C7" i="6" s="1"/>
  <c r="C13" i="6" l="1"/>
  <c r="C25" i="6"/>
  <c r="N20" i="6"/>
  <c r="N15" i="6"/>
  <c r="N8" i="6"/>
  <c r="N14" i="6"/>
  <c r="N22" i="6"/>
  <c r="E14" i="6"/>
  <c r="P14" i="6" l="1"/>
  <c r="L14" i="6"/>
  <c r="M14" i="6" s="1"/>
  <c r="H14" i="6"/>
  <c r="I14" i="6" s="1"/>
  <c r="G14" i="6"/>
  <c r="I20" i="6"/>
  <c r="G20" i="6"/>
  <c r="I22" i="6"/>
  <c r="G22" i="6"/>
  <c r="I8" i="6"/>
  <c r="G8" i="6"/>
  <c r="N16" i="6"/>
  <c r="N9" i="6"/>
  <c r="O22" i="6"/>
  <c r="O20" i="6"/>
  <c r="O8" i="6"/>
  <c r="O14" i="6"/>
  <c r="E13" i="6"/>
  <c r="Q8" i="6" l="1"/>
  <c r="R8" i="6"/>
  <c r="Q22" i="6"/>
  <c r="R22" i="6"/>
  <c r="R20" i="6"/>
  <c r="Q20" i="6"/>
  <c r="P13" i="6"/>
  <c r="L13" i="6"/>
  <c r="M13" i="6" s="1"/>
  <c r="Q14" i="6"/>
  <c r="R14" i="6"/>
  <c r="S14" i="6"/>
  <c r="T14" i="6"/>
  <c r="H13" i="6"/>
  <c r="I13" i="6" s="1"/>
  <c r="O13" i="6"/>
  <c r="I9" i="6"/>
  <c r="G9" i="6"/>
  <c r="G21" i="6"/>
  <c r="I21" i="6"/>
  <c r="N13" i="6"/>
  <c r="N21" i="6"/>
  <c r="D7" i="6"/>
  <c r="J7" i="6" s="1"/>
  <c r="O9" i="6"/>
  <c r="N7" i="6"/>
  <c r="D19" i="6"/>
  <c r="J19" i="6" s="1"/>
  <c r="O21" i="6"/>
  <c r="D25" i="6"/>
  <c r="J25" i="6" s="1"/>
  <c r="D13" i="6"/>
  <c r="J13" i="6" s="1"/>
  <c r="G19" i="5"/>
  <c r="E24" i="6" s="1"/>
  <c r="E19" i="6" s="1"/>
  <c r="H19" i="5"/>
  <c r="Q9" i="6" l="1"/>
  <c r="R9" i="6"/>
  <c r="Q21" i="6"/>
  <c r="R21" i="6"/>
  <c r="P19" i="6"/>
  <c r="L19" i="6"/>
  <c r="M19" i="6" s="1"/>
  <c r="L24" i="6"/>
  <c r="M24" i="6" s="1"/>
  <c r="P24" i="6"/>
  <c r="H24" i="6"/>
  <c r="I24" i="6" s="1"/>
  <c r="R13" i="6"/>
  <c r="Q13" i="6"/>
  <c r="S13" i="6"/>
  <c r="T13" i="6"/>
  <c r="O7" i="6"/>
  <c r="F7" i="6"/>
  <c r="G7" i="6" s="1"/>
  <c r="K7" i="6"/>
  <c r="H19" i="6"/>
  <c r="I19" i="6" s="1"/>
  <c r="F25" i="6"/>
  <c r="G25" i="6" s="1"/>
  <c r="K25" i="6"/>
  <c r="K19" i="6"/>
  <c r="F19" i="6"/>
  <c r="G19" i="6" s="1"/>
  <c r="O19" i="6"/>
  <c r="K13" i="6"/>
  <c r="F13" i="6"/>
  <c r="G13" i="6" s="1"/>
  <c r="O25" i="6"/>
  <c r="N25" i="6"/>
  <c r="N19" i="6"/>
  <c r="E25" i="6"/>
  <c r="E7" i="6"/>
  <c r="I19" i="5"/>
  <c r="K19" i="5"/>
  <c r="J19" i="5"/>
  <c r="P7" i="6" l="1"/>
  <c r="L7" i="6"/>
  <c r="M7" i="6" s="1"/>
  <c r="R7" i="6"/>
  <c r="Q7" i="6"/>
  <c r="R25" i="6"/>
  <c r="Q25" i="6"/>
  <c r="S24" i="6"/>
  <c r="T24" i="6"/>
  <c r="R19" i="6"/>
  <c r="Q19" i="6"/>
  <c r="P25" i="6"/>
  <c r="L25" i="6"/>
  <c r="M25" i="6" s="1"/>
  <c r="S19" i="6"/>
  <c r="T19" i="6"/>
  <c r="H25" i="6"/>
  <c r="I25" i="6" s="1"/>
  <c r="H7" i="6"/>
  <c r="I7" i="6" s="1"/>
  <c r="S7" i="6" l="1"/>
  <c r="T7" i="6"/>
  <c r="S25" i="6"/>
  <c r="T25" i="6"/>
</calcChain>
</file>

<file path=xl/sharedStrings.xml><?xml version="1.0" encoding="utf-8"?>
<sst xmlns="http://schemas.openxmlformats.org/spreadsheetml/2006/main" count="110" uniqueCount="99">
  <si>
    <t>NON RESPONSE RATE</t>
  </si>
  <si>
    <t>Number of annual births (based on IMR)</t>
  </si>
  <si>
    <t>Estimated annual under-five deaths</t>
  </si>
  <si>
    <t>Estimated annual infant deaths</t>
  </si>
  <si>
    <t>Estimated total population in SRS clusters</t>
  </si>
  <si>
    <t>TOTAL</t>
  </si>
  <si>
    <t>Estimated population and deaths</t>
  </si>
  <si>
    <t>Margin of error</t>
  </si>
  <si>
    <t>Read before proceeding:</t>
  </si>
  <si>
    <t>s4_2</t>
  </si>
  <si>
    <t>DESIGN EFFECT (DEFF)</t>
  </si>
  <si>
    <t>ASSUMPTIONS</t>
  </si>
  <si>
    <t>IMR</t>
  </si>
  <si>
    <t>U5MR</t>
  </si>
  <si>
    <t>Cause specific mortality rate</t>
  </si>
  <si>
    <t>Sample sise estimates</t>
  </si>
  <si>
    <t>Number of births</t>
  </si>
  <si>
    <t>Medium burden</t>
  </si>
  <si>
    <t>High burden</t>
  </si>
  <si>
    <t>Low burden</t>
  </si>
  <si>
    <t>Cause of death fraction</t>
  </si>
  <si>
    <t>Province/Region</t>
  </si>
  <si>
    <t>Mortality data (DHIS/MICS)</t>
  </si>
  <si>
    <t>Average HH size</t>
  </si>
  <si>
    <t>Cluster size</t>
  </si>
  <si>
    <t>Relative margin of error (2SE/X)</t>
  </si>
  <si>
    <t>ARR (YrStart-YrEnd)</t>
  </si>
  <si>
    <t>DHS (YrEnd)</t>
  </si>
  <si>
    <t>Projected U5MR to the YEAR bf SRS start*</t>
  </si>
  <si>
    <t>Projected IMR to the YEAR bf SRS start*</t>
  </si>
  <si>
    <t>Most recent DHS/MICS</t>
  </si>
  <si>
    <t>The year before the start of the SRS</t>
  </si>
  <si>
    <t>Year bf SRS start</t>
  </si>
  <si>
    <t>Sample size estimates</t>
  </si>
  <si>
    <t>U5</t>
  </si>
  <si>
    <t>Infant</t>
  </si>
  <si>
    <t>Estimated households</t>
  </si>
  <si>
    <t>Estimated total number of deaths</t>
  </si>
  <si>
    <t>Households</t>
  </si>
  <si>
    <t>2-YEAR PERIOD</t>
  </si>
  <si>
    <t>Estimated under-five deaths</t>
  </si>
  <si>
    <t>Cause specific mortality fraction (CSMF)</t>
  </si>
  <si>
    <t>Cause specific mortality rate (CSMR)</t>
  </si>
  <si>
    <t>Absolute margin of error for U5 CSMF (0.20)</t>
  </si>
  <si>
    <t>Relative margin of error for U5 CSMF</t>
  </si>
  <si>
    <t>Absolute margin of error for Infant CSMF (0.30)</t>
  </si>
  <si>
    <t>Relative margin of error for Infant CSMF</t>
  </si>
  <si>
    <t>Relative margin of error for U5 CSMR</t>
  </si>
  <si>
    <t>Absolute margin of error for Infant CSMR (0.015)</t>
  </si>
  <si>
    <t>Relative margin of error Infant CSMR</t>
  </si>
  <si>
    <t>Aboslute margin of error for Infant CSMR (0.015)</t>
  </si>
  <si>
    <t>Estimated infant deaths</t>
  </si>
  <si>
    <t>YEAR</t>
  </si>
  <si>
    <t>Crude birth rate (CBR)</t>
  </si>
  <si>
    <t>Crude death rate (CDR)</t>
  </si>
  <si>
    <t>Demographic and health survey (DHS) data was collected from June - November 2022</t>
  </si>
  <si>
    <t>* Projection using annual rate of reduction (2000-2021)  based on IGME estimates of national infant and under-five mortality rates</t>
  </si>
  <si>
    <t>Country mortality level of burden</t>
  </si>
  <si>
    <t>Region 2</t>
  </si>
  <si>
    <t>Region 3</t>
  </si>
  <si>
    <t>Region 4</t>
  </si>
  <si>
    <t>Region 5</t>
  </si>
  <si>
    <t>Region 6</t>
  </si>
  <si>
    <t>Region 7</t>
  </si>
  <si>
    <t>Region 8</t>
  </si>
  <si>
    <t>Region 9</t>
  </si>
  <si>
    <t>Region 10</t>
  </si>
  <si>
    <t>Region 11</t>
  </si>
  <si>
    <t>Coutry mortality level of burden</t>
  </si>
  <si>
    <t>Province/region</t>
  </si>
  <si>
    <t>Absolute margin of error (IMR) (2SE)</t>
  </si>
  <si>
    <t>Please consult stakeholders to change the proposed RME (column C) for more precision as needed</t>
  </si>
  <si>
    <t>Assumptions: design effect = 1.3 based on DHS 2022; Response rate of 90%; Crude birth rate of 30 per 1000 based on DHS2022; Crude death rate of 6.6 per 1000 based on population census 2016; Error margin is 2*standard error of the estimate</t>
  </si>
  <si>
    <t>DHS</t>
  </si>
  <si>
    <t>Region 1</t>
  </si>
  <si>
    <r>
      <rPr>
        <b/>
        <sz val="11"/>
        <color theme="1"/>
        <rFont val="Aptos Narrow"/>
        <family val="2"/>
        <scheme val="minor"/>
      </rPr>
      <t>Notes:</t>
    </r>
    <r>
      <rPr>
        <sz val="11"/>
        <color theme="1"/>
        <rFont val="Aptos Narrow"/>
        <family val="2"/>
        <scheme val="minor"/>
      </rPr>
      <t xml:space="preserve"> We assumed Under-5 cause specificmortality fraction (CSMF) of 0.20 and cause specific mortality rate (CSMR) of 0.010; Infant CSMF of 0.30 and CSMR of 0.015;</t>
    </r>
  </si>
  <si>
    <r>
      <t xml:space="preserve">Data in the </t>
    </r>
    <r>
      <rPr>
        <b/>
        <i/>
        <sz val="12"/>
        <color rgb="FF195756"/>
        <rFont val="Aptos Narrow"/>
        <family val="2"/>
        <scheme val="minor"/>
      </rPr>
      <t>Country data</t>
    </r>
    <r>
      <rPr>
        <sz val="12"/>
        <color theme="1"/>
        <rFont val="Aptos Narrow"/>
        <family val="2"/>
        <scheme val="minor"/>
      </rPr>
      <t xml:space="preserve"> sheet are reflective of population and mortality rates from most recent Housing and Population Census and Household Survey such as Demographic Health Survey (DHS) or Multiple Indicator Cluster Survey (MICS). In this example, we used Infant mortality rate to estimate the SRS sample size. However, the sample size can be used to estimate other mortality indicators such as under-5 mortality rate, crude death rate or age-specific mortality rate. </t>
    </r>
  </si>
  <si>
    <r>
      <t xml:space="preserve">The table in the </t>
    </r>
    <r>
      <rPr>
        <b/>
        <i/>
        <sz val="12"/>
        <color rgb="FF195756"/>
        <rFont val="Aptos Narrow"/>
        <family val="2"/>
        <scheme val="minor"/>
      </rPr>
      <t>Sample size calculation</t>
    </r>
    <r>
      <rPr>
        <sz val="12"/>
        <color theme="1"/>
        <rFont val="Aptos Narrow"/>
        <family val="2"/>
        <scheme val="minor"/>
      </rPr>
      <t xml:space="preserve"> sheet provides an example of sample size calculations used for the Mozambique SRS (COMSA/SIS-COVE).</t>
    </r>
  </si>
  <si>
    <r>
      <t xml:space="preserve">We recommend to work with the National Statistic Office to support this activity and the Ministry of Health and other stakeholders to determine priority provinces/regions and more accurate estimates for changing the margin of error in the </t>
    </r>
    <r>
      <rPr>
        <b/>
        <i/>
        <sz val="12"/>
        <color rgb="FF195756"/>
        <rFont val="Aptos Narrow"/>
        <family val="2"/>
        <scheme val="minor"/>
      </rPr>
      <t>Sample size calculation</t>
    </r>
    <r>
      <rPr>
        <sz val="12"/>
        <rFont val="Aptos Narrow"/>
        <family val="2"/>
        <scheme val="minor"/>
      </rPr>
      <t xml:space="preserve"> sheet. The country specific regions/provinces can be updated in </t>
    </r>
    <r>
      <rPr>
        <b/>
        <i/>
        <sz val="12"/>
        <color rgb="FF195756"/>
        <rFont val="Aptos Narrow"/>
        <family val="2"/>
        <scheme val="minor"/>
      </rPr>
      <t>Country data sheet</t>
    </r>
    <r>
      <rPr>
        <sz val="12"/>
        <rFont val="Aptos Narrow"/>
        <family val="2"/>
        <scheme val="minor"/>
      </rPr>
      <t>.</t>
    </r>
  </si>
  <si>
    <r>
      <t xml:space="preserve">Reader: Please replace the information for CSMF and CSMR with consultancy with country stakeholders highlighted in Yellow (B2-B3 and C2-C3). </t>
    </r>
    <r>
      <rPr>
        <b/>
        <sz val="11"/>
        <color rgb="FFFF0000"/>
        <rFont val="Aptos Narrow"/>
        <family val="2"/>
        <scheme val="minor"/>
      </rPr>
      <t>Do not change any cells with red font.</t>
    </r>
  </si>
  <si>
    <r>
      <t xml:space="preserve">Reader: All information in this table should be replaced with your country specific data </t>
    </r>
    <r>
      <rPr>
        <b/>
        <sz val="11"/>
        <color rgb="FFFF0000"/>
        <rFont val="Aptos Narrow"/>
        <family val="2"/>
        <scheme val="minor"/>
      </rPr>
      <t>except the ARR, mid-year period, and the columns with red font (D and F)</t>
    </r>
    <r>
      <rPr>
        <b/>
        <sz val="11"/>
        <color theme="1"/>
        <rFont val="Aptos Narrow"/>
        <family val="2"/>
        <scheme val="minor"/>
      </rPr>
      <t xml:space="preserve">. </t>
    </r>
  </si>
  <si>
    <t>UN/DHS estimates for Childhood mortality</t>
  </si>
  <si>
    <r>
      <rPr>
        <b/>
        <sz val="12"/>
        <color rgb="FFFF0000"/>
        <rFont val="Aptos Narrow"/>
        <family val="2"/>
        <scheme val="minor"/>
      </rPr>
      <t>Please note:</t>
    </r>
    <r>
      <rPr>
        <sz val="12"/>
        <color theme="1"/>
        <rFont val="Aptos Narrow"/>
        <family val="2"/>
        <scheme val="minor"/>
      </rPr>
      <t xml:space="preserve"> If you are adding more rows to include additional Provinces/Regions in the </t>
    </r>
    <r>
      <rPr>
        <b/>
        <i/>
        <sz val="12"/>
        <color rgb="FF195756"/>
        <rFont val="Aptos Narrow"/>
        <family val="2"/>
        <scheme val="minor"/>
      </rPr>
      <t xml:space="preserve">Country data </t>
    </r>
    <r>
      <rPr>
        <sz val="12"/>
        <rFont val="Aptos Narrow"/>
        <family val="2"/>
        <scheme val="minor"/>
      </rPr>
      <t>sheet,</t>
    </r>
    <r>
      <rPr>
        <b/>
        <i/>
        <sz val="12"/>
        <color rgb="FF195756"/>
        <rFont val="Aptos Narrow"/>
        <family val="2"/>
        <scheme val="minor"/>
      </rPr>
      <t xml:space="preserve"> </t>
    </r>
    <r>
      <rPr>
        <sz val="12"/>
        <color theme="1"/>
        <rFont val="Aptos Narrow"/>
        <family val="2"/>
        <scheme val="minor"/>
      </rPr>
      <t xml:space="preserve">you will also have to include the additional rows in the </t>
    </r>
    <r>
      <rPr>
        <b/>
        <i/>
        <sz val="12"/>
        <color rgb="FF195756"/>
        <rFont val="Aptos Narrow"/>
        <family val="2"/>
        <scheme val="minor"/>
      </rPr>
      <t>Sample size calculation</t>
    </r>
    <r>
      <rPr>
        <sz val="12"/>
        <color theme="1"/>
        <rFont val="Aptos Narrow"/>
        <family val="2"/>
        <scheme val="minor"/>
      </rPr>
      <t xml:space="preserve"> and </t>
    </r>
    <r>
      <rPr>
        <b/>
        <i/>
        <sz val="12"/>
        <color rgb="FF195756"/>
        <rFont val="Aptos Narrow"/>
        <family val="2"/>
        <scheme val="minor"/>
      </rPr>
      <t>CoD precision</t>
    </r>
    <r>
      <rPr>
        <sz val="12"/>
        <color theme="1"/>
        <rFont val="Aptos Narrow"/>
        <family val="2"/>
        <scheme val="minor"/>
      </rPr>
      <t xml:space="preserve"> sheets, linking to the data in the </t>
    </r>
    <r>
      <rPr>
        <i/>
        <sz val="12"/>
        <color theme="1"/>
        <rFont val="Aptos Narrow"/>
        <family val="2"/>
        <scheme val="minor"/>
      </rPr>
      <t xml:space="preserve">Country data </t>
    </r>
    <r>
      <rPr>
        <sz val="12"/>
        <color theme="1"/>
        <rFont val="Aptos Narrow"/>
        <family val="2"/>
        <scheme val="minor"/>
      </rPr>
      <t xml:space="preserve">sheet. </t>
    </r>
  </si>
  <si>
    <t xml:space="preserve">Reader: Please do not change the information in red font (columns D and F). </t>
  </si>
  <si>
    <t>Region 12</t>
  </si>
  <si>
    <t>Region 13</t>
  </si>
  <si>
    <t>Region 14</t>
  </si>
  <si>
    <t>Region 15</t>
  </si>
  <si>
    <r>
      <t>Household level -</t>
    </r>
    <r>
      <rPr>
        <sz val="11"/>
        <color rgb="FF7030A0"/>
        <rFont val="Aptos Narrow"/>
        <family val="2"/>
        <scheme val="minor"/>
      </rPr>
      <t xml:space="preserve"> SET TO BE CONSERVATIVE</t>
    </r>
  </si>
  <si>
    <t>Aboslute margin of error for U5 CSMR (0.020)</t>
  </si>
  <si>
    <t>Absolute margin of error for U5 CSMR (0.020)</t>
  </si>
  <si>
    <t>Estimated number of SRS EAS (n=125)</t>
  </si>
  <si>
    <r>
      <t xml:space="preserve">You can edit and change most data in the </t>
    </r>
    <r>
      <rPr>
        <b/>
        <sz val="12"/>
        <color rgb="FF195756"/>
        <rFont val="Aptos Narrow"/>
        <family val="2"/>
        <scheme val="minor"/>
      </rPr>
      <t>Country data</t>
    </r>
    <r>
      <rPr>
        <sz val="12"/>
        <color theme="1"/>
        <rFont val="Aptos Narrow"/>
        <family val="2"/>
        <scheme val="minor"/>
      </rPr>
      <t xml:space="preserve"> sheet. Data in the </t>
    </r>
    <r>
      <rPr>
        <b/>
        <i/>
        <sz val="12"/>
        <color rgb="FF195756"/>
        <rFont val="Aptos Narrow"/>
        <family val="2"/>
        <scheme val="minor"/>
      </rPr>
      <t>Sample size calculation</t>
    </r>
    <r>
      <rPr>
        <sz val="12"/>
        <color theme="1"/>
        <rFont val="Aptos Narrow"/>
        <family val="2"/>
        <scheme val="minor"/>
      </rPr>
      <t xml:space="preserve"> sheet and the </t>
    </r>
    <r>
      <rPr>
        <b/>
        <i/>
        <sz val="12"/>
        <color rgb="FF195756"/>
        <rFont val="Aptos Narrow"/>
        <family val="2"/>
        <scheme val="minor"/>
      </rPr>
      <t>CoD precision</t>
    </r>
    <r>
      <rPr>
        <sz val="12"/>
        <color theme="1"/>
        <rFont val="Aptos Narrow"/>
        <family val="2"/>
        <scheme val="minor"/>
      </rPr>
      <t xml:space="preserve"> sheet will be computed automatically using your country data. </t>
    </r>
  </si>
  <si>
    <t>Year of survey</t>
  </si>
  <si>
    <t>Year of most recent survey</t>
  </si>
  <si>
    <t>U5MR (DHS YrEnd) - Reference year = Year of survey</t>
  </si>
  <si>
    <t>IMR (DHS YrEnd) - Reference year = Year of survey</t>
  </si>
  <si>
    <r>
      <rPr>
        <b/>
        <sz val="11"/>
        <rFont val="Aptos Narrow"/>
        <family val="2"/>
        <scheme val="minor"/>
      </rPr>
      <t>Reader:</t>
    </r>
    <r>
      <rPr>
        <b/>
        <sz val="11"/>
        <color rgb="FFFF0000"/>
        <rFont val="Aptos Narrow"/>
        <family val="2"/>
        <scheme val="minor"/>
      </rPr>
      <t xml:space="preserve"> Please do not change any information in red font</t>
    </r>
    <r>
      <rPr>
        <b/>
        <sz val="11"/>
        <rFont val="Aptos Narrow"/>
        <family val="2"/>
        <scheme val="minor"/>
      </rPr>
      <t>, except the column C after consultancy with Ministry of health and other stakeholders as needed.</t>
    </r>
    <r>
      <rPr>
        <b/>
        <sz val="11"/>
        <color rgb="FFFF0000"/>
        <rFont val="Aptos Narrow"/>
        <family val="2"/>
        <scheme val="minor"/>
      </rPr>
      <t xml:space="preserve"> Please note the template use mortality rate (death per 1000)</t>
    </r>
  </si>
  <si>
    <t>Version 2: 20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</si>
</sst>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_);_(* \(#,##0\);_(* &quot;-&quot;??_);_(@_)"/>
    <numFmt numFmtId="166" formatCode="0.0"/>
    <numFmt numFmtId="167" formatCode="_(* #,##0.0_);_(* \(#,##0.0\);_(*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i/>
      <sz val="20"/>
      <color rgb="FFFF0000"/>
      <name val="Aptos Narrow"/>
      <family val="2"/>
      <scheme val="minor"/>
    </font>
    <font>
      <sz val="12"/>
      <color theme="1"/>
      <name val="Aptos Narrow"/>
      <family val="2"/>
      <scheme val="minor"/>
    </font>
    <font>
      <i/>
      <sz val="10"/>
      <color rgb="FFFF0000"/>
      <name val="Aptos Narrow"/>
      <family val="2"/>
      <scheme val="minor"/>
    </font>
    <font>
      <i/>
      <sz val="11"/>
      <color rgb="FFFF0000"/>
      <name val="Aptos Narrow"/>
      <family val="2"/>
      <scheme val="minor"/>
    </font>
    <font>
      <b/>
      <i/>
      <sz val="12"/>
      <color rgb="FF195756"/>
      <name val="Aptos Narrow"/>
      <family val="2"/>
      <scheme val="minor"/>
    </font>
    <font>
      <sz val="11"/>
      <name val="Aptos Narrow"/>
      <family val="2"/>
      <scheme val="minor"/>
    </font>
    <font>
      <sz val="8"/>
      <name val="Aptos Narrow"/>
      <family val="2"/>
      <scheme val="minor"/>
    </font>
    <font>
      <b/>
      <sz val="11"/>
      <name val="Aptos Narrow"/>
      <family val="2"/>
      <scheme val="minor"/>
    </font>
    <font>
      <sz val="11"/>
      <color rgb="FFFF0000"/>
      <name val="Aptos Narrow"/>
      <family val="2"/>
      <scheme val="minor"/>
    </font>
    <font>
      <b/>
      <sz val="11"/>
      <color rgb="FFFF0000"/>
      <name val="Aptos Narrow"/>
      <family val="2"/>
      <scheme val="minor"/>
    </font>
    <font>
      <b/>
      <sz val="12"/>
      <color rgb="FF195756"/>
      <name val="Aptos Narrow"/>
      <family val="2"/>
      <scheme val="minor"/>
    </font>
    <font>
      <sz val="12"/>
      <name val="Aptos Narrow"/>
      <family val="2"/>
      <scheme val="minor"/>
    </font>
    <font>
      <i/>
      <sz val="12"/>
      <color theme="1"/>
      <name val="Aptos Narrow"/>
      <family val="2"/>
      <scheme val="minor"/>
    </font>
    <font>
      <b/>
      <sz val="12"/>
      <color rgb="FFFF0000"/>
      <name val="Aptos Narrow"/>
      <family val="2"/>
      <scheme val="minor"/>
    </font>
    <font>
      <sz val="11"/>
      <color rgb="FF7030A0"/>
      <name val="Aptos Narrow"/>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0E6F5"/>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5">
    <xf numFmtId="0" fontId="0" fillId="0" borderId="0" xfId="0"/>
    <xf numFmtId="0" fontId="2" fillId="0" borderId="0" xfId="0" applyFont="1" applyAlignment="1">
      <alignment wrapText="1"/>
    </xf>
    <xf numFmtId="165" fontId="0" fillId="0" borderId="0" xfId="1" applyNumberFormat="1" applyFont="1" applyAlignment="1">
      <alignment wrapText="1"/>
    </xf>
    <xf numFmtId="0" fontId="0" fillId="3" borderId="0" xfId="0" applyFill="1"/>
    <xf numFmtId="0" fontId="0" fillId="4" borderId="0" xfId="0" applyFill="1"/>
    <xf numFmtId="0" fontId="3" fillId="4" borderId="0" xfId="0" applyFont="1" applyFill="1"/>
    <xf numFmtId="0" fontId="5" fillId="4" borderId="0" xfId="0" applyFont="1" applyFill="1"/>
    <xf numFmtId="0" fontId="6" fillId="4" borderId="0" xfId="0" applyFont="1" applyFill="1" applyAlignment="1">
      <alignment horizontal="right"/>
    </xf>
    <xf numFmtId="165" fontId="2" fillId="0" borderId="0" xfId="1" applyNumberFormat="1" applyFont="1" applyAlignment="1">
      <alignment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xf numFmtId="1" fontId="0" fillId="0" borderId="0" xfId="0" applyNumberFormat="1" applyAlignment="1">
      <alignment wrapText="1"/>
    </xf>
    <xf numFmtId="1" fontId="0" fillId="0" borderId="0" xfId="0" applyNumberFormat="1"/>
    <xf numFmtId="164" fontId="0" fillId="0" borderId="0" xfId="0" applyNumberFormat="1" applyAlignment="1">
      <alignment wrapText="1"/>
    </xf>
    <xf numFmtId="164" fontId="0" fillId="0" borderId="0" xfId="0" applyNumberFormat="1"/>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wrapText="1"/>
    </xf>
    <xf numFmtId="0" fontId="0" fillId="0" borderId="2" xfId="0" applyBorder="1" applyAlignment="1">
      <alignment wrapText="1"/>
    </xf>
    <xf numFmtId="1" fontId="8" fillId="0" borderId="0" xfId="0" applyNumberFormat="1" applyFont="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8" xfId="0" applyFill="1" applyBorder="1" applyAlignment="1">
      <alignment wrapText="1"/>
    </xf>
    <xf numFmtId="0" fontId="0" fillId="2" borderId="15" xfId="0" applyFill="1" applyBorder="1" applyAlignment="1">
      <alignment wrapText="1"/>
    </xf>
    <xf numFmtId="0" fontId="0" fillId="2" borderId="9" xfId="0" applyFill="1" applyBorder="1" applyAlignment="1">
      <alignment wrapText="1"/>
    </xf>
    <xf numFmtId="0" fontId="0" fillId="7" borderId="15" xfId="0" applyFill="1" applyBorder="1" applyAlignment="1">
      <alignment wrapText="1"/>
    </xf>
    <xf numFmtId="0" fontId="0" fillId="7" borderId="9" xfId="0" applyFill="1" applyBorder="1" applyAlignment="1">
      <alignment wrapText="1"/>
    </xf>
    <xf numFmtId="165" fontId="1" fillId="0" borderId="0" xfId="1" applyNumberFormat="1" applyFont="1" applyBorder="1" applyAlignment="1">
      <alignment vertical="center" wrapText="1"/>
    </xf>
    <xf numFmtId="1" fontId="0" fillId="0" borderId="1" xfId="0" applyNumberFormat="1" applyBorder="1" applyAlignment="1">
      <alignment vertical="center" wrapText="1"/>
    </xf>
    <xf numFmtId="1" fontId="0" fillId="0" borderId="2" xfId="0" applyNumberFormat="1" applyBorder="1" applyAlignment="1">
      <alignment vertical="center" wrapText="1"/>
    </xf>
    <xf numFmtId="1" fontId="0" fillId="0" borderId="3" xfId="0" applyNumberForma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6" borderId="8" xfId="0" applyFill="1" applyBorder="1" applyAlignment="1">
      <alignment wrapText="1"/>
    </xf>
    <xf numFmtId="0" fontId="0" fillId="6" borderId="15" xfId="0" applyFill="1" applyBorder="1" applyAlignment="1">
      <alignment wrapText="1"/>
    </xf>
    <xf numFmtId="0" fontId="0" fillId="6" borderId="9" xfId="0" applyFill="1" applyBorder="1" applyAlignment="1">
      <alignment wrapText="1"/>
    </xf>
    <xf numFmtId="0" fontId="0" fillId="7" borderId="8" xfId="0" applyFill="1" applyBorder="1" applyAlignment="1">
      <alignment wrapText="1"/>
    </xf>
    <xf numFmtId="0" fontId="2" fillId="0" borderId="12" xfId="0" applyFont="1" applyBorder="1" applyAlignment="1" applyProtection="1">
      <alignment vertical="center" wrapText="1"/>
      <protection locked="0"/>
    </xf>
    <xf numFmtId="0" fontId="0" fillId="0" borderId="0" xfId="0" applyProtection="1">
      <protection locked="0"/>
    </xf>
    <xf numFmtId="0" fontId="2" fillId="0" borderId="1" xfId="0" applyFont="1" applyBorder="1" applyProtection="1">
      <protection locked="0"/>
    </xf>
    <xf numFmtId="0" fontId="2" fillId="0" borderId="1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4" xfId="0" applyBorder="1" applyProtection="1">
      <protection locked="0"/>
    </xf>
    <xf numFmtId="0" fontId="0" fillId="0" borderId="15" xfId="0"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Protection="1">
      <protection locked="0"/>
    </xf>
    <xf numFmtId="164" fontId="0" fillId="0" borderId="0" xfId="0" applyNumberFormat="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10" xfId="0" applyBorder="1" applyAlignment="1" applyProtection="1">
      <alignment vertical="center" wrapText="1"/>
      <protection locked="0"/>
    </xf>
    <xf numFmtId="0" fontId="8" fillId="0" borderId="8" xfId="0" applyFont="1" applyBorder="1" applyAlignment="1" applyProtection="1">
      <alignment horizontal="center"/>
      <protection locked="0"/>
    </xf>
    <xf numFmtId="0" fontId="0" fillId="0" borderId="6" xfId="0" applyBorder="1" applyProtection="1">
      <protection locked="0"/>
    </xf>
    <xf numFmtId="0" fontId="0" fillId="0" borderId="7" xfId="0" applyBorder="1" applyProtection="1">
      <protection locked="0"/>
    </xf>
    <xf numFmtId="0" fontId="0" fillId="0" borderId="4" xfId="0" applyBorder="1" applyAlignment="1" applyProtection="1">
      <alignment vertical="center" wrapText="1"/>
      <protection locked="0"/>
    </xf>
    <xf numFmtId="9" fontId="0" fillId="0" borderId="15" xfId="2" applyFont="1" applyFill="1" applyBorder="1" applyAlignment="1" applyProtection="1">
      <alignment horizontal="center"/>
      <protection locked="0"/>
    </xf>
    <xf numFmtId="0" fontId="0" fillId="0" borderId="5" xfId="0" applyBorder="1" applyProtection="1">
      <protection locked="0"/>
    </xf>
    <xf numFmtId="0" fontId="0" fillId="0" borderId="11" xfId="0" applyBorder="1" applyAlignment="1" applyProtection="1">
      <alignment vertical="center" wrapText="1"/>
      <protection locked="0"/>
    </xf>
    <xf numFmtId="0" fontId="0" fillId="0" borderId="9" xfId="0" applyBorder="1" applyAlignment="1" applyProtection="1">
      <alignment horizontal="center"/>
      <protection locked="0"/>
    </xf>
    <xf numFmtId="0" fontId="0" fillId="0" borderId="0" xfId="0" applyAlignment="1" applyProtection="1">
      <alignment vertical="center" wrapText="1"/>
      <protection locked="0"/>
    </xf>
    <xf numFmtId="0" fontId="0" fillId="0" borderId="2" xfId="0" applyBorder="1" applyAlignment="1" applyProtection="1">
      <alignment wrapText="1"/>
      <protection locked="0"/>
    </xf>
    <xf numFmtId="0" fontId="0" fillId="0" borderId="0" xfId="0" applyAlignment="1" applyProtection="1">
      <alignment wrapText="1"/>
      <protection locked="0"/>
    </xf>
    <xf numFmtId="0" fontId="0" fillId="2" borderId="8" xfId="0" applyFill="1" applyBorder="1" applyAlignment="1" applyProtection="1">
      <alignment wrapText="1"/>
      <protection locked="0"/>
    </xf>
    <xf numFmtId="165" fontId="8" fillId="0" borderId="10" xfId="1" applyNumberFormat="1" applyFont="1" applyFill="1" applyBorder="1" applyProtection="1">
      <protection locked="0"/>
    </xf>
    <xf numFmtId="167" fontId="8" fillId="0" borderId="6" xfId="1" applyNumberFormat="1" applyFont="1" applyFill="1" applyBorder="1" applyProtection="1">
      <protection locked="0"/>
    </xf>
    <xf numFmtId="167" fontId="8" fillId="0" borderId="7" xfId="1" applyNumberFormat="1" applyFont="1" applyFill="1" applyBorder="1" applyProtection="1">
      <protection locked="0"/>
    </xf>
    <xf numFmtId="0" fontId="0" fillId="2" borderId="15" xfId="0" applyFill="1" applyBorder="1" applyAlignment="1" applyProtection="1">
      <alignment wrapText="1"/>
      <protection locked="0"/>
    </xf>
    <xf numFmtId="165" fontId="8" fillId="0" borderId="4" xfId="1" applyNumberFormat="1" applyFont="1" applyFill="1" applyBorder="1" applyProtection="1">
      <protection locked="0"/>
    </xf>
    <xf numFmtId="167" fontId="8" fillId="0" borderId="0" xfId="1" applyNumberFormat="1" applyFont="1" applyFill="1" applyBorder="1" applyProtection="1">
      <protection locked="0"/>
    </xf>
    <xf numFmtId="167" fontId="8" fillId="0" borderId="5" xfId="1" applyNumberFormat="1" applyFont="1" applyFill="1" applyBorder="1" applyProtection="1">
      <protection locked="0"/>
    </xf>
    <xf numFmtId="0" fontId="2" fillId="0" borderId="0" xfId="0" applyFont="1" applyAlignment="1" applyProtection="1">
      <alignment wrapText="1"/>
      <protection locked="0"/>
    </xf>
    <xf numFmtId="0" fontId="0" fillId="2" borderId="9" xfId="0" applyFill="1" applyBorder="1" applyAlignment="1" applyProtection="1">
      <alignment wrapText="1"/>
      <protection locked="0"/>
    </xf>
    <xf numFmtId="0" fontId="0" fillId="5" borderId="15" xfId="0" applyFill="1" applyBorder="1" applyAlignment="1" applyProtection="1">
      <alignment wrapText="1"/>
      <protection locked="0"/>
    </xf>
    <xf numFmtId="1" fontId="8" fillId="0" borderId="0" xfId="0" applyNumberFormat="1" applyFont="1" applyAlignment="1" applyProtection="1">
      <alignment wrapText="1"/>
      <protection locked="0"/>
    </xf>
    <xf numFmtId="9" fontId="2" fillId="0" borderId="0" xfId="0" applyNumberFormat="1" applyFont="1" applyAlignment="1" applyProtection="1">
      <alignment wrapText="1"/>
      <protection locked="0"/>
    </xf>
    <xf numFmtId="1" fontId="8" fillId="0" borderId="12" xfId="0" applyNumberFormat="1" applyFont="1" applyBorder="1" applyAlignment="1" applyProtection="1">
      <alignment wrapText="1"/>
      <protection locked="0"/>
    </xf>
    <xf numFmtId="165" fontId="8" fillId="0" borderId="11" xfId="1" applyNumberFormat="1" applyFont="1" applyFill="1" applyBorder="1" applyProtection="1">
      <protection locked="0"/>
    </xf>
    <xf numFmtId="167" fontId="8" fillId="0" borderId="12" xfId="1" applyNumberFormat="1" applyFont="1" applyFill="1" applyBorder="1" applyProtection="1">
      <protection locked="0"/>
    </xf>
    <xf numFmtId="167" fontId="8" fillId="0" borderId="13" xfId="1" applyNumberFormat="1" applyFont="1" applyFill="1" applyBorder="1" applyProtection="1">
      <protection locked="0"/>
    </xf>
    <xf numFmtId="0" fontId="0" fillId="7" borderId="15" xfId="0" applyFill="1" applyBorder="1" applyAlignment="1" applyProtection="1">
      <alignment wrapText="1"/>
      <protection locked="0"/>
    </xf>
    <xf numFmtId="0" fontId="0" fillId="7" borderId="9" xfId="0" applyFill="1" applyBorder="1" applyAlignment="1" applyProtection="1">
      <alignment wrapText="1"/>
      <protection locked="0"/>
    </xf>
    <xf numFmtId="0" fontId="0" fillId="0" borderId="9" xfId="0" applyBorder="1" applyAlignment="1" applyProtection="1">
      <alignment vertical="center" wrapText="1"/>
      <protection locked="0"/>
    </xf>
    <xf numFmtId="0" fontId="2" fillId="0" borderId="11" xfId="0" applyFont="1" applyBorder="1" applyAlignment="1" applyProtection="1">
      <alignment vertical="center" wrapText="1"/>
      <protection locked="0"/>
    </xf>
    <xf numFmtId="167" fontId="8" fillId="0" borderId="0" xfId="1" applyNumberFormat="1" applyFont="1" applyFill="1" applyProtection="1">
      <protection locked="0"/>
    </xf>
    <xf numFmtId="167" fontId="2" fillId="0" borderId="0" xfId="1" applyNumberFormat="1" applyFont="1" applyBorder="1" applyProtection="1">
      <protection locked="0"/>
    </xf>
    <xf numFmtId="0" fontId="0" fillId="10" borderId="8" xfId="0" applyFill="1" applyBorder="1" applyAlignment="1">
      <alignment wrapText="1"/>
    </xf>
    <xf numFmtId="0" fontId="0" fillId="9" borderId="14" xfId="0" applyFill="1" applyBorder="1" applyProtection="1">
      <protection locked="0"/>
    </xf>
    <xf numFmtId="1" fontId="11" fillId="0" borderId="0" xfId="0" applyNumberFormat="1" applyFont="1" applyAlignment="1">
      <alignment wrapText="1"/>
    </xf>
    <xf numFmtId="0" fontId="8" fillId="0" borderId="22" xfId="0" applyFont="1" applyBorder="1"/>
    <xf numFmtId="0" fontId="10" fillId="0" borderId="19" xfId="0" applyFont="1" applyBorder="1" applyAlignment="1">
      <alignment horizontal="center" vertical="center"/>
    </xf>
    <xf numFmtId="0" fontId="10" fillId="0" borderId="18" xfId="0" applyFont="1" applyBorder="1" applyAlignment="1">
      <alignment horizontal="center" vertical="center"/>
    </xf>
    <xf numFmtId="0" fontId="10" fillId="0" borderId="23" xfId="0" applyFont="1" applyBorder="1"/>
    <xf numFmtId="0" fontId="10" fillId="0" borderId="24" xfId="0" applyFont="1" applyBorder="1"/>
    <xf numFmtId="0" fontId="4" fillId="4" borderId="0" xfId="0" applyFont="1" applyFill="1" applyAlignment="1">
      <alignment horizontal="left" vertical="center" wrapText="1"/>
    </xf>
    <xf numFmtId="0" fontId="4" fillId="4" borderId="0" xfId="0" applyFont="1" applyFill="1" applyAlignment="1">
      <alignment horizontal="center" vertical="center" wrapText="1"/>
    </xf>
    <xf numFmtId="1" fontId="11" fillId="4" borderId="6" xfId="0" applyNumberFormat="1" applyFont="1" applyFill="1" applyBorder="1" applyAlignment="1">
      <alignment wrapText="1"/>
    </xf>
    <xf numFmtId="0" fontId="11" fillId="4" borderId="11" xfId="0" applyFont="1" applyFill="1" applyBorder="1"/>
    <xf numFmtId="164" fontId="11" fillId="4" borderId="9" xfId="0" applyNumberFormat="1" applyFont="1" applyFill="1" applyBorder="1" applyAlignment="1">
      <alignment horizontal="center" vertical="center"/>
    </xf>
    <xf numFmtId="1" fontId="11" fillId="4" borderId="0" xfId="0" applyNumberFormat="1" applyFont="1" applyFill="1" applyAlignment="1">
      <alignment wrapText="1"/>
    </xf>
    <xf numFmtId="1" fontId="11" fillId="4" borderId="12" xfId="0" applyNumberFormat="1" applyFont="1" applyFill="1" applyBorder="1" applyAlignment="1">
      <alignment wrapText="1"/>
    </xf>
    <xf numFmtId="0" fontId="11" fillId="4" borderId="15" xfId="0" applyFont="1" applyFill="1" applyBorder="1" applyAlignment="1">
      <alignment horizontal="center"/>
    </xf>
    <xf numFmtId="0" fontId="0" fillId="0" borderId="6" xfId="0" applyBorder="1" applyAlignment="1" applyProtection="1">
      <alignment wrapText="1"/>
      <protection locked="0"/>
    </xf>
    <xf numFmtId="0" fontId="0" fillId="0" borderId="12" xfId="0" applyBorder="1" applyAlignment="1" applyProtection="1">
      <alignment wrapText="1"/>
      <protection locked="0"/>
    </xf>
    <xf numFmtId="166" fontId="11" fillId="4" borderId="7" xfId="0" applyNumberFormat="1" applyFont="1" applyFill="1" applyBorder="1" applyAlignment="1">
      <alignment wrapText="1"/>
    </xf>
    <xf numFmtId="166" fontId="11" fillId="4" borderId="5" xfId="0" applyNumberFormat="1" applyFont="1" applyFill="1" applyBorder="1" applyAlignment="1">
      <alignment wrapText="1"/>
    </xf>
    <xf numFmtId="166" fontId="11" fillId="4" borderId="13" xfId="0" applyNumberFormat="1" applyFont="1" applyFill="1" applyBorder="1" applyAlignment="1">
      <alignment wrapText="1"/>
    </xf>
    <xf numFmtId="1" fontId="11" fillId="4" borderId="10" xfId="0" applyNumberFormat="1" applyFont="1" applyFill="1" applyBorder="1"/>
    <xf numFmtId="1" fontId="11" fillId="4" borderId="4" xfId="0" applyNumberFormat="1" applyFont="1" applyFill="1" applyBorder="1"/>
    <xf numFmtId="1" fontId="12" fillId="4" borderId="11" xfId="0" applyNumberFormat="1" applyFont="1" applyFill="1" applyBorder="1"/>
    <xf numFmtId="1" fontId="11" fillId="4" borderId="6" xfId="0" applyNumberFormat="1" applyFont="1" applyFill="1" applyBorder="1"/>
    <xf numFmtId="1" fontId="11" fillId="4" borderId="0" xfId="0" applyNumberFormat="1" applyFont="1" applyFill="1"/>
    <xf numFmtId="1" fontId="11" fillId="4" borderId="12" xfId="0" applyNumberFormat="1" applyFont="1" applyFill="1" applyBorder="1"/>
    <xf numFmtId="1" fontId="12" fillId="4" borderId="12" xfId="0" applyNumberFormat="1" applyFont="1" applyFill="1" applyBorder="1"/>
    <xf numFmtId="165" fontId="11" fillId="4" borderId="6" xfId="1" applyNumberFormat="1" applyFont="1" applyFill="1" applyBorder="1" applyAlignment="1" applyProtection="1">
      <alignment wrapText="1"/>
    </xf>
    <xf numFmtId="165" fontId="11" fillId="4" borderId="7" xfId="1" applyNumberFormat="1" applyFont="1" applyFill="1" applyBorder="1" applyAlignment="1" applyProtection="1">
      <alignment wrapText="1"/>
    </xf>
    <xf numFmtId="165" fontId="11" fillId="4" borderId="6" xfId="0" applyNumberFormat="1" applyFont="1" applyFill="1" applyBorder="1" applyAlignment="1">
      <alignment horizontal="left" wrapText="1"/>
    </xf>
    <xf numFmtId="165" fontId="11" fillId="4" borderId="7" xfId="0" applyNumberFormat="1" applyFont="1" applyFill="1" applyBorder="1" applyAlignment="1">
      <alignment wrapText="1"/>
    </xf>
    <xf numFmtId="165" fontId="11" fillId="4" borderId="0" xfId="1" applyNumberFormat="1" applyFont="1" applyFill="1" applyBorder="1" applyAlignment="1" applyProtection="1">
      <alignment wrapText="1"/>
    </xf>
    <xf numFmtId="165" fontId="11" fillId="4" borderId="5" xfId="1" applyNumberFormat="1" applyFont="1" applyFill="1" applyBorder="1" applyAlignment="1" applyProtection="1">
      <alignment wrapText="1"/>
    </xf>
    <xf numFmtId="165" fontId="11" fillId="4" borderId="0" xfId="0" applyNumberFormat="1" applyFont="1" applyFill="1" applyAlignment="1">
      <alignment horizontal="left" wrapText="1"/>
    </xf>
    <xf numFmtId="165" fontId="11" fillId="4" borderId="5" xfId="0" applyNumberFormat="1" applyFont="1" applyFill="1" applyBorder="1" applyAlignment="1">
      <alignment wrapText="1"/>
    </xf>
    <xf numFmtId="165" fontId="11" fillId="4" borderId="12" xfId="1" applyNumberFormat="1" applyFont="1" applyFill="1" applyBorder="1" applyAlignment="1" applyProtection="1">
      <alignment wrapText="1"/>
    </xf>
    <xf numFmtId="165" fontId="11" fillId="4" borderId="13" xfId="1" applyNumberFormat="1" applyFont="1" applyFill="1" applyBorder="1" applyAlignment="1" applyProtection="1">
      <alignment wrapText="1"/>
    </xf>
    <xf numFmtId="165" fontId="11" fillId="4" borderId="12" xfId="0" applyNumberFormat="1" applyFont="1" applyFill="1" applyBorder="1" applyAlignment="1">
      <alignment horizontal="left" wrapText="1"/>
    </xf>
    <xf numFmtId="165" fontId="11" fillId="4" borderId="13" xfId="0" applyNumberFormat="1" applyFont="1" applyFill="1" applyBorder="1" applyAlignment="1">
      <alignment wrapText="1"/>
    </xf>
    <xf numFmtId="165" fontId="12" fillId="4" borderId="12" xfId="1" applyNumberFormat="1" applyFont="1" applyFill="1" applyBorder="1" applyAlignment="1" applyProtection="1">
      <alignment vertical="center" wrapText="1"/>
    </xf>
    <xf numFmtId="165" fontId="12" fillId="4" borderId="13" xfId="1" applyNumberFormat="1" applyFont="1" applyFill="1" applyBorder="1" applyAlignment="1" applyProtection="1">
      <alignment vertical="center" wrapText="1"/>
    </xf>
    <xf numFmtId="0" fontId="0" fillId="8" borderId="10" xfId="0" applyFill="1" applyBorder="1" applyAlignment="1" applyProtection="1">
      <alignment horizontal="center" vertical="center" wrapText="1"/>
      <protection locked="0"/>
    </xf>
    <xf numFmtId="9" fontId="1" fillId="8" borderId="10" xfId="2" applyFont="1" applyFill="1" applyBorder="1" applyAlignment="1" applyProtection="1">
      <alignment wrapText="1"/>
      <protection locked="0"/>
    </xf>
    <xf numFmtId="9" fontId="1" fillId="8" borderId="4" xfId="2" applyFont="1" applyFill="1" applyBorder="1" applyAlignment="1" applyProtection="1">
      <alignment wrapText="1"/>
      <protection locked="0"/>
    </xf>
    <xf numFmtId="9" fontId="1" fillId="8" borderId="11" xfId="2" applyFont="1" applyFill="1" applyBorder="1" applyAlignment="1" applyProtection="1">
      <alignment wrapText="1"/>
      <protection locked="0"/>
    </xf>
    <xf numFmtId="2" fontId="8" fillId="9" borderId="20" xfId="0" applyNumberFormat="1" applyFont="1" applyFill="1" applyBorder="1" applyAlignment="1" applyProtection="1">
      <alignment horizontal="center" vertical="center"/>
      <protection locked="0"/>
    </xf>
    <xf numFmtId="2" fontId="8" fillId="9" borderId="17" xfId="0" applyNumberFormat="1" applyFont="1" applyFill="1" applyBorder="1" applyAlignment="1" applyProtection="1">
      <alignment horizontal="center" vertical="center"/>
      <protection locked="0"/>
    </xf>
    <xf numFmtId="164" fontId="8" fillId="9" borderId="21" xfId="0" applyNumberFormat="1" applyFont="1" applyFill="1" applyBorder="1" applyAlignment="1" applyProtection="1">
      <alignment horizontal="center" vertical="center"/>
      <protection locked="0"/>
    </xf>
    <xf numFmtId="0" fontId="8" fillId="9" borderId="16" xfId="0" applyFont="1" applyFill="1" applyBorder="1" applyAlignment="1" applyProtection="1">
      <alignment horizontal="center" vertical="center"/>
      <protection locked="0"/>
    </xf>
    <xf numFmtId="1" fontId="12" fillId="2" borderId="1" xfId="0" applyNumberFormat="1" applyFont="1" applyFill="1" applyBorder="1" applyAlignment="1">
      <alignment wrapText="1"/>
    </xf>
    <xf numFmtId="1" fontId="12" fillId="6" borderId="1" xfId="0" applyNumberFormat="1" applyFont="1" applyFill="1" applyBorder="1" applyAlignment="1">
      <alignment wrapText="1"/>
    </xf>
    <xf numFmtId="1" fontId="12" fillId="7" borderId="1" xfId="0" applyNumberFormat="1" applyFont="1" applyFill="1" applyBorder="1" applyAlignment="1">
      <alignment wrapText="1"/>
    </xf>
    <xf numFmtId="1" fontId="12" fillId="0" borderId="1" xfId="0" applyNumberFormat="1" applyFont="1" applyBorder="1"/>
    <xf numFmtId="1" fontId="12" fillId="2" borderId="2" xfId="0" applyNumberFormat="1" applyFont="1" applyFill="1" applyBorder="1" applyAlignment="1">
      <alignment wrapText="1"/>
    </xf>
    <xf numFmtId="1" fontId="12" fillId="2" borderId="3" xfId="0" applyNumberFormat="1" applyFont="1" applyFill="1" applyBorder="1" applyAlignment="1">
      <alignment wrapText="1"/>
    </xf>
    <xf numFmtId="2" fontId="12" fillId="2" borderId="1" xfId="0" applyNumberFormat="1" applyFont="1" applyFill="1" applyBorder="1"/>
    <xf numFmtId="2" fontId="12" fillId="2" borderId="2" xfId="0" applyNumberFormat="1" applyFont="1" applyFill="1" applyBorder="1"/>
    <xf numFmtId="164" fontId="12" fillId="2" borderId="2" xfId="0" applyNumberFormat="1" applyFont="1" applyFill="1" applyBorder="1" applyAlignment="1">
      <alignment wrapText="1"/>
    </xf>
    <xf numFmtId="164" fontId="12" fillId="2" borderId="3" xfId="0" applyNumberFormat="1" applyFont="1" applyFill="1" applyBorder="1" applyAlignment="1">
      <alignment wrapText="1"/>
    </xf>
    <xf numFmtId="1" fontId="11" fillId="0" borderId="5" xfId="0" applyNumberFormat="1" applyFont="1" applyBorder="1" applyAlignment="1">
      <alignment wrapText="1"/>
    </xf>
    <xf numFmtId="2" fontId="11" fillId="0" borderId="4" xfId="0" applyNumberFormat="1" applyFont="1" applyBorder="1"/>
    <xf numFmtId="2" fontId="11" fillId="0" borderId="0" xfId="0" applyNumberFormat="1" applyFont="1"/>
    <xf numFmtId="164" fontId="11" fillId="0" borderId="0" xfId="0" applyNumberFormat="1" applyFont="1" applyAlignment="1">
      <alignment wrapText="1"/>
    </xf>
    <xf numFmtId="1" fontId="11" fillId="0" borderId="4" xfId="0" applyNumberFormat="1" applyFont="1" applyBorder="1" applyAlignment="1">
      <alignment wrapText="1"/>
    </xf>
    <xf numFmtId="1" fontId="12" fillId="6" borderId="2" xfId="0" applyNumberFormat="1" applyFont="1" applyFill="1" applyBorder="1" applyAlignment="1">
      <alignment wrapText="1"/>
    </xf>
    <xf numFmtId="1" fontId="12" fillId="6" borderId="3" xfId="0" applyNumberFormat="1" applyFont="1" applyFill="1" applyBorder="1" applyAlignment="1">
      <alignment wrapText="1"/>
    </xf>
    <xf numFmtId="2" fontId="12" fillId="6" borderId="1" xfId="0" applyNumberFormat="1" applyFont="1" applyFill="1" applyBorder="1"/>
    <xf numFmtId="2" fontId="12" fillId="6" borderId="2" xfId="0" applyNumberFormat="1" applyFont="1" applyFill="1" applyBorder="1"/>
    <xf numFmtId="164" fontId="12" fillId="6" borderId="1" xfId="0" applyNumberFormat="1" applyFont="1" applyFill="1" applyBorder="1" applyAlignment="1">
      <alignment wrapText="1"/>
    </xf>
    <xf numFmtId="164" fontId="12" fillId="6" borderId="2" xfId="0" applyNumberFormat="1" applyFont="1" applyFill="1" applyBorder="1" applyAlignment="1">
      <alignment wrapText="1"/>
    </xf>
    <xf numFmtId="1" fontId="12" fillId="7" borderId="2" xfId="0" applyNumberFormat="1" applyFont="1" applyFill="1" applyBorder="1" applyAlignment="1">
      <alignment wrapText="1"/>
    </xf>
    <xf numFmtId="1" fontId="12" fillId="7" borderId="3" xfId="0" applyNumberFormat="1" applyFont="1" applyFill="1" applyBorder="1" applyAlignment="1">
      <alignment wrapText="1"/>
    </xf>
    <xf numFmtId="2" fontId="12" fillId="7" borderId="1" xfId="0" applyNumberFormat="1" applyFont="1" applyFill="1" applyBorder="1"/>
    <xf numFmtId="2" fontId="12" fillId="7" borderId="2" xfId="0" applyNumberFormat="1" applyFont="1" applyFill="1" applyBorder="1"/>
    <xf numFmtId="164" fontId="12" fillId="7" borderId="1" xfId="0" applyNumberFormat="1" applyFont="1" applyFill="1" applyBorder="1" applyAlignment="1">
      <alignment wrapText="1"/>
    </xf>
    <xf numFmtId="164" fontId="12" fillId="7" borderId="2" xfId="0" applyNumberFormat="1" applyFont="1" applyFill="1" applyBorder="1" applyAlignment="1">
      <alignment wrapText="1"/>
    </xf>
    <xf numFmtId="164" fontId="12" fillId="7" borderId="3" xfId="0" applyNumberFormat="1" applyFont="1" applyFill="1" applyBorder="1" applyAlignment="1">
      <alignment wrapText="1"/>
    </xf>
    <xf numFmtId="2" fontId="11" fillId="0" borderId="11" xfId="0" applyNumberFormat="1" applyFont="1" applyBorder="1"/>
    <xf numFmtId="2" fontId="11" fillId="0" borderId="12" xfId="0" applyNumberFormat="1" applyFont="1" applyBorder="1"/>
    <xf numFmtId="1" fontId="12" fillId="0" borderId="2" xfId="0" applyNumberFormat="1" applyFont="1" applyBorder="1"/>
    <xf numFmtId="2" fontId="12" fillId="0" borderId="1" xfId="0" applyNumberFormat="1" applyFont="1" applyBorder="1"/>
    <xf numFmtId="2" fontId="12" fillId="0" borderId="2" xfId="0" applyNumberFormat="1" applyFont="1" applyBorder="1"/>
    <xf numFmtId="164" fontId="12" fillId="0" borderId="2" xfId="0" applyNumberFormat="1" applyFont="1" applyBorder="1" applyAlignment="1">
      <alignment wrapText="1"/>
    </xf>
    <xf numFmtId="1" fontId="12" fillId="0" borderId="1" xfId="0" applyNumberFormat="1" applyFont="1" applyBorder="1" applyAlignment="1">
      <alignment wrapText="1"/>
    </xf>
    <xf numFmtId="1" fontId="12" fillId="0" borderId="2" xfId="0" applyNumberFormat="1" applyFont="1" applyBorder="1" applyAlignment="1">
      <alignment wrapText="1"/>
    </xf>
    <xf numFmtId="0" fontId="0" fillId="0" borderId="10" xfId="0" applyBorder="1" applyAlignment="1" applyProtection="1">
      <alignment horizontal="center" vertical="center" wrapText="1"/>
      <protection locked="0"/>
    </xf>
    <xf numFmtId="0" fontId="11" fillId="4" borderId="6" xfId="0" applyFont="1" applyFill="1" applyBorder="1" applyAlignment="1">
      <alignment horizontal="center" vertical="center" wrapText="1"/>
    </xf>
    <xf numFmtId="0" fontId="0" fillId="0" borderId="6" xfId="0" applyBorder="1" applyAlignment="1" applyProtection="1">
      <alignment horizontal="center" vertical="center" wrapText="1"/>
      <protection locked="0"/>
    </xf>
    <xf numFmtId="1" fontId="0" fillId="0" borderId="0" xfId="0" applyNumberFormat="1" applyAlignment="1" applyProtection="1">
      <alignment wrapText="1"/>
      <protection locked="0"/>
    </xf>
    <xf numFmtId="1" fontId="0" fillId="0" borderId="10" xfId="0" applyNumberFormat="1" applyBorder="1" applyAlignment="1" applyProtection="1">
      <alignment wrapText="1"/>
      <protection locked="0"/>
    </xf>
    <xf numFmtId="1" fontId="0" fillId="0" borderId="4" xfId="0" applyNumberFormat="1" applyBorder="1" applyAlignment="1" applyProtection="1">
      <alignment wrapText="1"/>
      <protection locked="0"/>
    </xf>
    <xf numFmtId="1" fontId="0" fillId="0" borderId="11" xfId="0" applyNumberFormat="1" applyBorder="1" applyAlignment="1" applyProtection="1">
      <alignment wrapText="1"/>
      <protection locked="0"/>
    </xf>
    <xf numFmtId="165" fontId="10" fillId="0" borderId="11" xfId="1" applyNumberFormat="1" applyFont="1" applyFill="1" applyBorder="1" applyProtection="1">
      <protection locked="0"/>
    </xf>
    <xf numFmtId="167" fontId="10" fillId="0" borderId="12" xfId="1" applyNumberFormat="1" applyFont="1" applyFill="1" applyBorder="1" applyProtection="1">
      <protection locked="0"/>
    </xf>
    <xf numFmtId="167" fontId="10" fillId="0" borderId="13" xfId="1" applyNumberFormat="1" applyFont="1" applyFill="1" applyBorder="1" applyProtection="1">
      <protection locked="0"/>
    </xf>
    <xf numFmtId="0" fontId="0" fillId="7" borderId="8" xfId="0" applyFill="1" applyBorder="1" applyAlignment="1" applyProtection="1">
      <alignment wrapText="1"/>
      <protection locked="0"/>
    </xf>
    <xf numFmtId="1" fontId="8" fillId="0" borderId="6" xfId="0" applyNumberFormat="1" applyFont="1" applyBorder="1" applyAlignment="1" applyProtection="1">
      <alignment wrapText="1"/>
      <protection locked="0"/>
    </xf>
    <xf numFmtId="0" fontId="0" fillId="0" borderId="1" xfId="0" applyBorder="1" applyAlignment="1" applyProtection="1">
      <alignment wrapText="1"/>
      <protection locked="0"/>
    </xf>
    <xf numFmtId="0" fontId="0" fillId="0" borderId="3" xfId="0" applyBorder="1" applyAlignment="1" applyProtection="1">
      <alignment wrapText="1"/>
      <protection locked="0"/>
    </xf>
    <xf numFmtId="0" fontId="0" fillId="10" borderId="15" xfId="0" applyFill="1" applyBorder="1" applyAlignment="1">
      <alignment wrapText="1"/>
    </xf>
    <xf numFmtId="0" fontId="0" fillId="10" borderId="9" xfId="0" applyFill="1" applyBorder="1" applyAlignment="1">
      <alignment wrapText="1"/>
    </xf>
    <xf numFmtId="0" fontId="2" fillId="0" borderId="14" xfId="0" applyFont="1" applyBorder="1"/>
    <xf numFmtId="0" fontId="0" fillId="0" borderId="3" xfId="0" applyBorder="1" applyAlignment="1">
      <alignment wrapText="1"/>
    </xf>
    <xf numFmtId="2" fontId="12" fillId="2" borderId="3" xfId="0" applyNumberFormat="1" applyFont="1" applyFill="1" applyBorder="1"/>
    <xf numFmtId="2" fontId="11" fillId="0" borderId="5" xfId="0" applyNumberFormat="1" applyFont="1" applyBorder="1"/>
    <xf numFmtId="2" fontId="12" fillId="6" borderId="3" xfId="0" applyNumberFormat="1" applyFont="1" applyFill="1" applyBorder="1"/>
    <xf numFmtId="2" fontId="12" fillId="7" borderId="3" xfId="0" applyNumberFormat="1" applyFont="1" applyFill="1" applyBorder="1"/>
    <xf numFmtId="2" fontId="11" fillId="0" borderId="13" xfId="0" applyNumberFormat="1" applyFont="1" applyBorder="1"/>
    <xf numFmtId="164" fontId="12" fillId="0" borderId="1" xfId="0" applyNumberFormat="1" applyFont="1" applyBorder="1" applyAlignment="1">
      <alignment wrapText="1"/>
    </xf>
    <xf numFmtId="2" fontId="12" fillId="0" borderId="3" xfId="0" applyNumberFormat="1" applyFont="1" applyBorder="1"/>
    <xf numFmtId="1" fontId="12" fillId="10" borderId="1" xfId="0" applyNumberFormat="1" applyFont="1" applyFill="1" applyBorder="1" applyAlignment="1">
      <alignment wrapText="1"/>
    </xf>
    <xf numFmtId="1" fontId="12" fillId="10" borderId="2" xfId="0" applyNumberFormat="1" applyFont="1" applyFill="1" applyBorder="1" applyAlignment="1">
      <alignment wrapText="1"/>
    </xf>
    <xf numFmtId="164" fontId="12" fillId="10" borderId="2" xfId="0" applyNumberFormat="1" applyFont="1" applyFill="1" applyBorder="1" applyAlignment="1">
      <alignment wrapText="1"/>
    </xf>
    <xf numFmtId="164" fontId="12" fillId="10" borderId="3" xfId="0" applyNumberFormat="1" applyFont="1" applyFill="1" applyBorder="1" applyAlignment="1">
      <alignment wrapText="1"/>
    </xf>
    <xf numFmtId="164" fontId="12" fillId="0" borderId="3" xfId="0" applyNumberFormat="1" applyFont="1" applyBorder="1" applyAlignment="1">
      <alignment wrapText="1"/>
    </xf>
    <xf numFmtId="164" fontId="11" fillId="0" borderId="5" xfId="0" applyNumberFormat="1" applyFont="1" applyBorder="1" applyAlignment="1">
      <alignment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2" fillId="4" borderId="0" xfId="0" applyFont="1" applyFill="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0" fillId="7" borderId="15" xfId="0" applyFill="1" applyBorder="1" applyAlignment="1" applyProtection="1">
      <alignment horizontal="center" vertical="center" wrapText="1"/>
      <protection locked="0"/>
    </xf>
    <xf numFmtId="0" fontId="0" fillId="7" borderId="9" xfId="0"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2"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0" fillId="9" borderId="8" xfId="0"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12" fillId="4" borderId="0" xfId="0" applyFont="1" applyFill="1" applyAlignment="1">
      <alignment horizontal="left"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0" fontId="0" fillId="8" borderId="0" xfId="0" applyFill="1" applyAlignment="1">
      <alignment horizontal="center"/>
    </xf>
    <xf numFmtId="0" fontId="0" fillId="7" borderId="10" xfId="0" applyFill="1" applyBorder="1" applyAlignment="1">
      <alignment horizontal="center" vertical="center" wrapText="1"/>
    </xf>
    <xf numFmtId="0" fontId="0" fillId="7" borderId="4" xfId="0" applyFill="1" applyBorder="1" applyAlignment="1">
      <alignment horizontal="center" vertical="center" wrapText="1"/>
    </xf>
    <xf numFmtId="0" fontId="0" fillId="7" borderId="11"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1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5" xfId="0"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xf>
    <xf numFmtId="0" fontId="2" fillId="0" borderId="6" xfId="0" applyFont="1" applyBorder="1" applyAlignment="1">
      <alignment horizontal="center"/>
    </xf>
    <xf numFmtId="0" fontId="2" fillId="4" borderId="0" xfId="0" applyFont="1" applyFill="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0" xfId="0" applyAlignment="1">
      <alignment horizontal="left" vertical="center" wrapText="1"/>
    </xf>
    <xf numFmtId="0" fontId="2" fillId="5" borderId="1" xfId="0" applyFont="1" applyFill="1" applyBorder="1" applyAlignment="1">
      <alignment horizontal="center"/>
    </xf>
    <xf numFmtId="0" fontId="2" fillId="5" borderId="5" xfId="0" applyFont="1" applyFill="1" applyBorder="1" applyAlignment="1">
      <alignment horizontal="center"/>
    </xf>
    <xf numFmtId="0" fontId="2" fillId="7" borderId="1" xfId="0" applyFont="1" applyFill="1" applyBorder="1" applyAlignment="1">
      <alignment horizontal="center"/>
    </xf>
    <xf numFmtId="0" fontId="2" fillId="7" borderId="5" xfId="0" applyFont="1" applyFill="1"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 fillId="2" borderId="1" xfId="0" applyFont="1" applyFill="1" applyBorder="1" applyAlignment="1">
      <alignment horizontal="center" wrapText="1"/>
    </xf>
    <xf numFmtId="0" fontId="2" fillId="2" borderId="0" xfId="0" applyFont="1" applyFill="1" applyAlignment="1">
      <alignment horizontal="center" wrapText="1"/>
    </xf>
    <xf numFmtId="0" fontId="2" fillId="0" borderId="7"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0E6F5"/>
      <color rgb="FF19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jhu-viva.github.io/viva-docs/docs/srswebinar/sept2025.html" TargetMode="External"/><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171450</xdr:rowOff>
    </xdr:from>
    <xdr:to>
      <xdr:col>1</xdr:col>
      <xdr:colOff>1121667</xdr:colOff>
      <xdr:row>3</xdr:row>
      <xdr:rowOff>174499</xdr:rowOff>
    </xdr:to>
    <xdr:pic>
      <xdr:nvPicPr>
        <xdr:cNvPr id="2" name="Picture 1">
          <a:extLst>
            <a:ext uri="{FF2B5EF4-FFF2-40B4-BE49-F238E27FC236}">
              <a16:creationId xmlns:a16="http://schemas.microsoft.com/office/drawing/2014/main" id="{8D831E3F-D5C2-47C8-85A9-D8E04258C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71450"/>
          <a:ext cx="1458852" cy="563119"/>
        </a:xfrm>
        <a:prstGeom prst="rect">
          <a:avLst/>
        </a:prstGeom>
      </xdr:spPr>
    </xdr:pic>
    <xdr:clientData/>
  </xdr:twoCellAnchor>
  <xdr:twoCellAnchor editAs="oneCell">
    <xdr:from>
      <xdr:col>2</xdr:col>
      <xdr:colOff>2554288</xdr:colOff>
      <xdr:row>0</xdr:row>
      <xdr:rowOff>0</xdr:rowOff>
    </xdr:from>
    <xdr:to>
      <xdr:col>3</xdr:col>
      <xdr:colOff>440132</xdr:colOff>
      <xdr:row>5</xdr:row>
      <xdr:rowOff>1651</xdr:rowOff>
    </xdr:to>
    <xdr:pic>
      <xdr:nvPicPr>
        <xdr:cNvPr id="3" name="Picture 2">
          <a:extLst>
            <a:ext uri="{FF2B5EF4-FFF2-40B4-BE49-F238E27FC236}">
              <a16:creationId xmlns:a16="http://schemas.microsoft.com/office/drawing/2014/main" id="{A4A1A6EA-81F6-447F-B15A-07D411B2A0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4188" y="0"/>
          <a:ext cx="1424064" cy="916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593822</xdr:colOff>
      <xdr:row>0</xdr:row>
      <xdr:rowOff>102870</xdr:rowOff>
    </xdr:from>
    <xdr:to>
      <xdr:col>19</xdr:col>
      <xdr:colOff>495298</xdr:colOff>
      <xdr:row>13</xdr:row>
      <xdr:rowOff>133018</xdr:rowOff>
    </xdr:to>
    <xdr:pic>
      <xdr:nvPicPr>
        <xdr:cNvPr id="2" name="Graphic 1">
          <a:extLst>
            <a:ext uri="{FF2B5EF4-FFF2-40B4-BE49-F238E27FC236}">
              <a16:creationId xmlns:a16="http://schemas.microsoft.com/office/drawing/2014/main" id="{70B75A1C-EE8D-1EE7-1216-AF07DF248EB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685155" y="102870"/>
          <a:ext cx="5390699" cy="3000537"/>
        </a:xfrm>
        <a:prstGeom prst="rect">
          <a:avLst/>
        </a:prstGeom>
      </xdr:spPr>
    </xdr:pic>
    <xdr:clientData/>
  </xdr:twoCellAnchor>
  <xdr:twoCellAnchor>
    <xdr:from>
      <xdr:col>12</xdr:col>
      <xdr:colOff>40217</xdr:colOff>
      <xdr:row>14</xdr:row>
      <xdr:rowOff>67734</xdr:rowOff>
    </xdr:from>
    <xdr:to>
      <xdr:col>18</xdr:col>
      <xdr:colOff>539750</xdr:colOff>
      <xdr:row>16</xdr:row>
      <xdr:rowOff>137584</xdr:rowOff>
    </xdr:to>
    <xdr:sp macro="" textlink="">
      <xdr:nvSpPr>
        <xdr:cNvPr id="3" name="TextBox 2">
          <a:hlinkClick xmlns:r="http://schemas.openxmlformats.org/officeDocument/2006/relationships" r:id="rId3"/>
          <a:extLst>
            <a:ext uri="{FF2B5EF4-FFF2-40B4-BE49-F238E27FC236}">
              <a16:creationId xmlns:a16="http://schemas.microsoft.com/office/drawing/2014/main" id="{F9AE8554-CB1C-795A-441E-C0CD6ADCB868}"/>
            </a:ext>
          </a:extLst>
        </xdr:cNvPr>
        <xdr:cNvSpPr txBox="1"/>
      </xdr:nvSpPr>
      <xdr:spPr>
        <a:xfrm>
          <a:off x="12242800" y="2713567"/>
          <a:ext cx="4246033"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195756"/>
              </a:solidFill>
            </a:rPr>
            <a:t>Click here</a:t>
          </a:r>
          <a:r>
            <a:rPr lang="en-US" sz="1100" b="1" baseline="0">
              <a:solidFill>
                <a:srgbClr val="195756"/>
              </a:solidFill>
            </a:rPr>
            <a:t> to see </a:t>
          </a:r>
          <a:r>
            <a:rPr lang="en-US" sz="1100" b="1">
              <a:solidFill>
                <a:srgbClr val="195756"/>
              </a:solidFill>
            </a:rPr>
            <a:t>Agbessi's</a:t>
          </a:r>
          <a:r>
            <a:rPr lang="en-US" sz="1100" b="1" baseline="0">
              <a:solidFill>
                <a:srgbClr val="195756"/>
              </a:solidFill>
            </a:rPr>
            <a:t> presentation from 08 Spetember 2025</a:t>
          </a:r>
          <a:endParaRPr lang="en-US" sz="1100" b="1">
            <a:solidFill>
              <a:srgbClr val="195756"/>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Kante\Dropbox\COMSA\SRS%20Sampling\sample%20size%20-%20version%203.xlsx" TargetMode="External"/><Relationship Id="rId1" Type="http://schemas.openxmlformats.org/officeDocument/2006/relationships/externalLinkPath" Target="/Users/AKante/Dropbox/COMSA/SRS%20Sampling/sample%20size%20-%20version%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Sample size by Prov"/>
      <sheetName val="Moz-Sample size adjusted"/>
      <sheetName val="IGME-Moz-IMR"/>
      <sheetName val="IGME-MOZ-U5MR"/>
      <sheetName val="Moz-Sample size REVISED"/>
      <sheetName val="SS to detect annual changes"/>
      <sheetName val="SS - Cause specific mortality"/>
      <sheetName val="Presentation-1"/>
      <sheetName val="Presentation-2"/>
      <sheetName val="CAUSE OF DEATH - MZ"/>
      <sheetName val="Kenya"/>
      <sheetName val="CoD Precision"/>
      <sheetName val="Urban-Rur Allocation"/>
      <sheetName val="Mortality Data - Moz"/>
      <sheetName val="Sample size for MITS"/>
      <sheetName val="Sheet1"/>
    </sheetNames>
    <sheetDataSet>
      <sheetData sheetId="0"/>
      <sheetData sheetId="1"/>
      <sheetData sheetId="2"/>
      <sheetData sheetId="3"/>
      <sheetData sheetId="4"/>
      <sheetData sheetId="5"/>
      <sheetData sheetId="6"/>
      <sheetData sheetId="7">
        <row r="6">
          <cell r="A6" t="str">
            <v>Low burden</v>
          </cell>
        </row>
        <row r="18">
          <cell r="B18" t="str">
            <v>Total</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CD8A-3F53-4BAE-AE72-6C7D933CA52C}">
  <sheetPr>
    <tabColor rgb="FFC00000"/>
  </sheetPr>
  <dimension ref="A5:D19"/>
  <sheetViews>
    <sheetView topLeftCell="A2" zoomScaleNormal="100" workbookViewId="0">
      <selection activeCell="G16" sqref="G16"/>
    </sheetView>
  </sheetViews>
  <sheetFormatPr defaultColWidth="8.81640625" defaultRowHeight="14.5" x14ac:dyDescent="0.35"/>
  <cols>
    <col min="1" max="1" width="8.81640625" style="3"/>
    <col min="2" max="2" width="52.54296875" style="3" customWidth="1"/>
    <col min="3" max="3" width="50.54296875" style="3" customWidth="1"/>
    <col min="4" max="16384" width="8.81640625" style="3"/>
  </cols>
  <sheetData>
    <row r="5" spans="1:4" ht="14.25" customHeight="1" x14ac:dyDescent="0.35"/>
    <row r="6" spans="1:4" ht="26" x14ac:dyDescent="0.6">
      <c r="A6" s="4"/>
      <c r="B6" s="5" t="s">
        <v>8</v>
      </c>
      <c r="C6" s="4"/>
      <c r="D6" s="4"/>
    </row>
    <row r="7" spans="1:4" ht="10" customHeight="1" thickBot="1" x14ac:dyDescent="0.4">
      <c r="A7" s="4"/>
      <c r="B7" s="4"/>
      <c r="C7" s="4"/>
      <c r="D7" s="4"/>
    </row>
    <row r="8" spans="1:4" ht="82" customHeight="1" thickBot="1" x14ac:dyDescent="0.4">
      <c r="A8" s="4"/>
      <c r="B8" s="208" t="s">
        <v>76</v>
      </c>
      <c r="C8" s="209"/>
      <c r="D8" s="4"/>
    </row>
    <row r="9" spans="1:4" ht="10" customHeight="1" thickBot="1" x14ac:dyDescent="0.4">
      <c r="A9" s="4"/>
      <c r="B9" s="99"/>
      <c r="C9" s="99"/>
      <c r="D9" s="4"/>
    </row>
    <row r="10" spans="1:4" ht="33" customHeight="1" thickBot="1" x14ac:dyDescent="0.4">
      <c r="A10" s="4"/>
      <c r="B10" s="208" t="s">
        <v>77</v>
      </c>
      <c r="C10" s="209"/>
      <c r="D10" s="4"/>
    </row>
    <row r="11" spans="1:4" ht="10" customHeight="1" thickBot="1" x14ac:dyDescent="0.4">
      <c r="A11" s="4"/>
      <c r="B11" s="100"/>
      <c r="C11" s="100"/>
      <c r="D11" s="4"/>
    </row>
    <row r="12" spans="1:4" ht="35" customHeight="1" thickBot="1" x14ac:dyDescent="0.4">
      <c r="A12" s="4"/>
      <c r="B12" s="208" t="s">
        <v>92</v>
      </c>
      <c r="C12" s="209"/>
      <c r="D12" s="4"/>
    </row>
    <row r="13" spans="1:4" ht="10" customHeight="1" thickBot="1" x14ac:dyDescent="0.4">
      <c r="A13" s="4"/>
      <c r="B13" s="100"/>
      <c r="C13" s="100"/>
      <c r="D13" s="4"/>
    </row>
    <row r="14" spans="1:4" ht="48.5" customHeight="1" thickBot="1" x14ac:dyDescent="0.4">
      <c r="A14" s="4"/>
      <c r="B14" s="212" t="s">
        <v>82</v>
      </c>
      <c r="C14" s="213"/>
      <c r="D14" s="4"/>
    </row>
    <row r="15" spans="1:4" ht="10" customHeight="1" thickBot="1" x14ac:dyDescent="0.4">
      <c r="A15" s="4"/>
      <c r="B15" s="100"/>
      <c r="C15" s="100"/>
      <c r="D15" s="4"/>
    </row>
    <row r="16" spans="1:4" ht="63" customHeight="1" thickBot="1" x14ac:dyDescent="0.4">
      <c r="A16" s="4"/>
      <c r="B16" s="210" t="s">
        <v>78</v>
      </c>
      <c r="C16" s="211"/>
      <c r="D16" s="4"/>
    </row>
    <row r="17" spans="1:4" ht="16" x14ac:dyDescent="0.35">
      <c r="A17" s="4"/>
      <c r="B17" s="99"/>
      <c r="C17" s="99"/>
      <c r="D17" s="4"/>
    </row>
    <row r="18" spans="1:4" x14ac:dyDescent="0.35">
      <c r="A18" s="4"/>
      <c r="B18" s="6" t="s">
        <v>98</v>
      </c>
      <c r="C18" s="7" t="s">
        <v>9</v>
      </c>
      <c r="D18" s="4"/>
    </row>
    <row r="19" spans="1:4" x14ac:dyDescent="0.35">
      <c r="A19" s="4"/>
      <c r="B19" s="4"/>
      <c r="C19" s="4"/>
      <c r="D19" s="4"/>
    </row>
  </sheetData>
  <mergeCells count="5">
    <mergeCell ref="B8:C8"/>
    <mergeCell ref="B10:C10"/>
    <mergeCell ref="B12:C12"/>
    <mergeCell ref="B16:C16"/>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C3D5-2944-4E34-80C2-BBCA8C16F792}">
  <dimension ref="A1:L35"/>
  <sheetViews>
    <sheetView tabSelected="1" zoomScale="80" zoomScaleNormal="80" workbookViewId="0">
      <selection activeCell="C14" sqref="C14"/>
    </sheetView>
  </sheetViews>
  <sheetFormatPr defaultColWidth="8.90625" defaultRowHeight="14.5" x14ac:dyDescent="0.35"/>
  <cols>
    <col min="1" max="1" width="20.81640625" style="44" customWidth="1"/>
    <col min="2" max="2" width="15.36328125" style="44" customWidth="1"/>
    <col min="3" max="3" width="14.1796875" style="44" customWidth="1"/>
    <col min="4" max="4" width="14.36328125" style="44" customWidth="1"/>
    <col min="5" max="5" width="15.08984375" style="44" customWidth="1"/>
    <col min="6" max="6" width="13.6328125" style="44" customWidth="1"/>
    <col min="7" max="9" width="11.6328125" style="44" customWidth="1"/>
    <col min="10" max="11" width="8.90625" style="44"/>
    <col min="12" max="12" width="11.54296875" style="44" bestFit="1" customWidth="1"/>
    <col min="13" max="16384" width="8.90625" style="44"/>
  </cols>
  <sheetData>
    <row r="1" spans="1:12" ht="15" thickBot="1" x14ac:dyDescent="0.4">
      <c r="A1" s="232" t="s">
        <v>81</v>
      </c>
      <c r="B1" s="233"/>
      <c r="C1" s="233"/>
      <c r="D1" s="234"/>
      <c r="F1" s="221" t="s">
        <v>80</v>
      </c>
      <c r="G1" s="221"/>
      <c r="H1" s="221"/>
      <c r="I1" s="221"/>
      <c r="J1" s="221"/>
      <c r="K1" s="221"/>
      <c r="L1" s="221"/>
    </row>
    <row r="2" spans="1:12" ht="15" thickBot="1" x14ac:dyDescent="0.4">
      <c r="A2" s="45" t="s">
        <v>11</v>
      </c>
      <c r="B2" s="46" t="s">
        <v>12</v>
      </c>
      <c r="C2" s="46" t="s">
        <v>13</v>
      </c>
      <c r="D2" s="47" t="s">
        <v>52</v>
      </c>
      <c r="F2" s="221"/>
      <c r="G2" s="221"/>
      <c r="H2" s="221"/>
      <c r="I2" s="221"/>
      <c r="J2" s="221"/>
      <c r="K2" s="221"/>
      <c r="L2" s="221"/>
    </row>
    <row r="3" spans="1:12" x14ac:dyDescent="0.35">
      <c r="A3" s="48" t="s">
        <v>73</v>
      </c>
      <c r="B3" s="49">
        <v>70</v>
      </c>
      <c r="C3" s="49">
        <v>80</v>
      </c>
      <c r="D3" s="50">
        <v>2018</v>
      </c>
      <c r="F3" s="221"/>
      <c r="G3" s="221"/>
      <c r="H3" s="221"/>
      <c r="I3" s="221"/>
      <c r="J3" s="221"/>
      <c r="K3" s="221"/>
      <c r="L3" s="221"/>
    </row>
    <row r="4" spans="1:12" x14ac:dyDescent="0.35">
      <c r="A4" s="48" t="s">
        <v>73</v>
      </c>
      <c r="B4" s="49">
        <v>60</v>
      </c>
      <c r="C4" s="49">
        <v>70</v>
      </c>
      <c r="D4" s="50">
        <v>2022</v>
      </c>
    </row>
    <row r="5" spans="1:12" ht="15" thickBot="1" x14ac:dyDescent="0.4">
      <c r="A5" s="102" t="s">
        <v>26</v>
      </c>
      <c r="B5" s="103">
        <f>((B4/B3)^(1/(D4-D3)))-1</f>
        <v>-3.7804541804238534E-2</v>
      </c>
      <c r="C5" s="103">
        <f>((C4/C3)^(1/(D4-D3))-1)</f>
        <v>-3.2831789866165306E-2</v>
      </c>
      <c r="D5" s="51"/>
      <c r="E5" s="52"/>
    </row>
    <row r="6" spans="1:12" ht="15" thickBot="1" x14ac:dyDescent="0.4">
      <c r="A6" s="53"/>
      <c r="B6" s="54"/>
      <c r="C6" s="54"/>
      <c r="D6" s="55"/>
      <c r="E6" s="52"/>
      <c r="H6" s="235" t="s">
        <v>24</v>
      </c>
      <c r="I6" s="92" t="s">
        <v>38</v>
      </c>
    </row>
    <row r="7" spans="1:12" ht="15" thickBot="1" x14ac:dyDescent="0.4">
      <c r="A7" s="232" t="s">
        <v>30</v>
      </c>
      <c r="B7" s="233"/>
      <c r="C7" s="233"/>
      <c r="D7" s="233"/>
      <c r="E7" s="233"/>
      <c r="F7" s="234"/>
      <c r="H7" s="236"/>
      <c r="I7" s="92">
        <v>125</v>
      </c>
    </row>
    <row r="8" spans="1:12" x14ac:dyDescent="0.35">
      <c r="A8" s="56" t="s">
        <v>10</v>
      </c>
      <c r="B8" s="57">
        <v>1.3</v>
      </c>
      <c r="C8" s="58" t="s">
        <v>27</v>
      </c>
      <c r="D8" s="58"/>
      <c r="E8" s="58"/>
      <c r="F8" s="59"/>
    </row>
    <row r="9" spans="1:12" x14ac:dyDescent="0.35">
      <c r="A9" s="60" t="s">
        <v>0</v>
      </c>
      <c r="B9" s="61">
        <v>0.1</v>
      </c>
      <c r="C9" s="44" t="s">
        <v>88</v>
      </c>
      <c r="F9" s="62"/>
    </row>
    <row r="10" spans="1:12" x14ac:dyDescent="0.35">
      <c r="A10" s="60" t="s">
        <v>93</v>
      </c>
      <c r="B10" s="106">
        <f>D4</f>
        <v>2022</v>
      </c>
      <c r="C10" s="44" t="s">
        <v>94</v>
      </c>
      <c r="F10" s="62"/>
    </row>
    <row r="11" spans="1:12" ht="15" thickBot="1" x14ac:dyDescent="0.4">
      <c r="A11" s="63" t="s">
        <v>32</v>
      </c>
      <c r="B11" s="64">
        <v>2025</v>
      </c>
      <c r="C11" s="229" t="s">
        <v>31</v>
      </c>
      <c r="D11" s="229"/>
      <c r="E11" s="229"/>
      <c r="F11" s="230"/>
    </row>
    <row r="12" spans="1:12" ht="15" thickBot="1" x14ac:dyDescent="0.4"/>
    <row r="13" spans="1:12" s="65" customFormat="1" ht="15" customHeight="1" thickBot="1" x14ac:dyDescent="0.4">
      <c r="A13" s="224" t="s">
        <v>57</v>
      </c>
      <c r="B13" s="224" t="s">
        <v>21</v>
      </c>
      <c r="C13" s="231" t="s">
        <v>22</v>
      </c>
      <c r="D13" s="231"/>
      <c r="E13" s="231"/>
      <c r="F13" s="231"/>
      <c r="G13" s="222"/>
      <c r="H13" s="222"/>
      <c r="I13" s="223"/>
    </row>
    <row r="14" spans="1:12" s="67" customFormat="1" ht="71.400000000000006" customHeight="1" thickBot="1" x14ac:dyDescent="0.4">
      <c r="A14" s="225"/>
      <c r="B14" s="225"/>
      <c r="C14" s="177" t="s">
        <v>95</v>
      </c>
      <c r="D14" s="178" t="s">
        <v>28</v>
      </c>
      <c r="E14" s="179" t="s">
        <v>96</v>
      </c>
      <c r="F14" s="178" t="s">
        <v>29</v>
      </c>
      <c r="G14" s="189" t="s">
        <v>53</v>
      </c>
      <c r="H14" s="66" t="s">
        <v>54</v>
      </c>
      <c r="I14" s="190" t="s">
        <v>23</v>
      </c>
    </row>
    <row r="15" spans="1:12" s="67" customFormat="1" x14ac:dyDescent="0.35">
      <c r="A15" s="226" t="s">
        <v>19</v>
      </c>
      <c r="B15" s="68" t="s">
        <v>74</v>
      </c>
      <c r="C15" s="181">
        <v>60</v>
      </c>
      <c r="D15" s="101">
        <f>C15*($C$5+1)^($B$11-$B$10)</f>
        <v>54.282181165502919</v>
      </c>
      <c r="E15" s="107">
        <v>39</v>
      </c>
      <c r="F15" s="101">
        <f>E15*($B$5+1)^($B$11-$B$10)</f>
        <v>34.741975909192327</v>
      </c>
      <c r="G15" s="73">
        <v>27</v>
      </c>
      <c r="H15" s="74">
        <v>5.2</v>
      </c>
      <c r="I15" s="75">
        <v>5.5</v>
      </c>
    </row>
    <row r="16" spans="1:12" s="76" customFormat="1" x14ac:dyDescent="0.35">
      <c r="A16" s="227"/>
      <c r="B16" s="72" t="s">
        <v>58</v>
      </c>
      <c r="C16" s="182">
        <v>62</v>
      </c>
      <c r="D16" s="104">
        <f>C16*($C$5+1)^($B$11-$B$10)</f>
        <v>56.091587204353011</v>
      </c>
      <c r="E16" s="67">
        <v>41</v>
      </c>
      <c r="F16" s="104">
        <f t="shared" ref="F16:F19" si="0">E16*($B$5+1)^($B$11-$B$10)</f>
        <v>36.523615699407323</v>
      </c>
      <c r="G16" s="73">
        <v>36</v>
      </c>
      <c r="H16" s="74">
        <v>5.3</v>
      </c>
      <c r="I16" s="75">
        <v>4.7</v>
      </c>
    </row>
    <row r="17" spans="1:12" s="76" customFormat="1" x14ac:dyDescent="0.35">
      <c r="A17" s="227"/>
      <c r="B17" s="72" t="s">
        <v>59</v>
      </c>
      <c r="C17" s="182">
        <v>65</v>
      </c>
      <c r="D17" s="104">
        <f t="shared" ref="D17:D19" si="1">C17*($C$5+1)^($B$11-$B$10)</f>
        <v>58.80569626262816</v>
      </c>
      <c r="E17" s="67">
        <v>45</v>
      </c>
      <c r="F17" s="104">
        <f t="shared" si="0"/>
        <v>40.0868952798373</v>
      </c>
      <c r="G17" s="73">
        <v>30</v>
      </c>
      <c r="H17" s="74">
        <v>6.2</v>
      </c>
      <c r="I17" s="75">
        <v>6.1</v>
      </c>
    </row>
    <row r="18" spans="1:12" s="76" customFormat="1" x14ac:dyDescent="0.35">
      <c r="A18" s="227"/>
      <c r="B18" s="72" t="s">
        <v>60</v>
      </c>
      <c r="C18" s="182">
        <v>70</v>
      </c>
      <c r="D18" s="104">
        <f t="shared" si="1"/>
        <v>63.329211359753401</v>
      </c>
      <c r="E18" s="67">
        <v>55</v>
      </c>
      <c r="F18" s="104">
        <f t="shared" si="0"/>
        <v>48.995094230912258</v>
      </c>
      <c r="G18" s="73">
        <v>24</v>
      </c>
      <c r="H18" s="74">
        <v>6</v>
      </c>
      <c r="I18" s="75">
        <v>4.9000000000000004</v>
      </c>
    </row>
    <row r="19" spans="1:12" s="67" customFormat="1" ht="15" thickBot="1" x14ac:dyDescent="0.4">
      <c r="A19" s="228"/>
      <c r="B19" s="77" t="s">
        <v>61</v>
      </c>
      <c r="C19" s="183">
        <v>78</v>
      </c>
      <c r="D19" s="105">
        <f t="shared" si="1"/>
        <v>70.566835515153798</v>
      </c>
      <c r="E19" s="108">
        <v>58</v>
      </c>
      <c r="F19" s="105">
        <f t="shared" si="0"/>
        <v>51.667553916234745</v>
      </c>
      <c r="G19" s="82">
        <v>26</v>
      </c>
      <c r="H19" s="83">
        <v>5.8</v>
      </c>
      <c r="I19" s="84">
        <v>6.1</v>
      </c>
    </row>
    <row r="20" spans="1:12" s="67" customFormat="1" x14ac:dyDescent="0.35">
      <c r="A20" s="215" t="s">
        <v>17</v>
      </c>
      <c r="B20" s="78" t="s">
        <v>62</v>
      </c>
      <c r="C20" s="180">
        <v>83</v>
      </c>
      <c r="D20" s="104">
        <f t="shared" ref="D20:D29" si="2">C20*($C$5+1)^($B$11-$B$10)</f>
        <v>75.090350612279039</v>
      </c>
      <c r="E20" s="67">
        <v>68</v>
      </c>
      <c r="F20" s="104">
        <f t="shared" ref="F20:F29" si="3">E20*($B$5+1)^($B$11-$B$10)</f>
        <v>60.575752867309703</v>
      </c>
      <c r="G20" s="73">
        <v>24</v>
      </c>
      <c r="H20" s="74">
        <v>5.9</v>
      </c>
      <c r="I20" s="75">
        <v>5.6</v>
      </c>
    </row>
    <row r="21" spans="1:12" s="67" customFormat="1" x14ac:dyDescent="0.35">
      <c r="A21" s="216"/>
      <c r="B21" s="78" t="s">
        <v>63</v>
      </c>
      <c r="C21" s="79">
        <v>86</v>
      </c>
      <c r="D21" s="104">
        <f t="shared" si="2"/>
        <v>77.804459670554181</v>
      </c>
      <c r="E21" s="67">
        <v>61</v>
      </c>
      <c r="F21" s="104">
        <f t="shared" si="3"/>
        <v>54.340013601557231</v>
      </c>
      <c r="G21" s="73">
        <v>29</v>
      </c>
      <c r="H21" s="74">
        <v>6.4</v>
      </c>
      <c r="I21" s="75">
        <v>5.3</v>
      </c>
    </row>
    <row r="22" spans="1:12" s="76" customFormat="1" x14ac:dyDescent="0.35">
      <c r="A22" s="216"/>
      <c r="B22" s="78" t="s">
        <v>64</v>
      </c>
      <c r="C22" s="79">
        <v>87</v>
      </c>
      <c r="D22" s="104">
        <f t="shared" si="2"/>
        <v>78.709162689979223</v>
      </c>
      <c r="E22" s="67">
        <v>73</v>
      </c>
      <c r="F22" s="104">
        <f t="shared" si="3"/>
        <v>65.029852342847178</v>
      </c>
      <c r="G22" s="73">
        <v>31</v>
      </c>
      <c r="H22" s="74">
        <v>6.9</v>
      </c>
      <c r="I22" s="75">
        <v>6.4</v>
      </c>
      <c r="L22" s="80"/>
    </row>
    <row r="23" spans="1:12" s="76" customFormat="1" x14ac:dyDescent="0.35">
      <c r="A23" s="216"/>
      <c r="B23" s="78" t="s">
        <v>65</v>
      </c>
      <c r="C23" s="79">
        <v>89</v>
      </c>
      <c r="D23" s="104">
        <f t="shared" si="2"/>
        <v>80.518568728829322</v>
      </c>
      <c r="E23" s="67">
        <v>74</v>
      </c>
      <c r="F23" s="104">
        <f t="shared" si="3"/>
        <v>65.920672237954676</v>
      </c>
      <c r="G23" s="73">
        <v>38</v>
      </c>
      <c r="H23" s="74">
        <v>6.3</v>
      </c>
      <c r="I23" s="75">
        <v>6.1</v>
      </c>
      <c r="L23" s="80"/>
    </row>
    <row r="24" spans="1:12" s="67" customFormat="1" ht="15" thickBot="1" x14ac:dyDescent="0.4">
      <c r="A24" s="217"/>
      <c r="B24" s="78" t="s">
        <v>66</v>
      </c>
      <c r="C24" s="79">
        <v>93</v>
      </c>
      <c r="D24" s="104">
        <f t="shared" si="2"/>
        <v>84.137380806529521</v>
      </c>
      <c r="E24" s="67">
        <v>79</v>
      </c>
      <c r="F24" s="104">
        <f t="shared" si="3"/>
        <v>70.374771713492152</v>
      </c>
      <c r="G24" s="73">
        <v>30</v>
      </c>
      <c r="H24" s="74">
        <v>8.3000000000000007</v>
      </c>
      <c r="I24" s="75">
        <v>4.8</v>
      </c>
    </row>
    <row r="25" spans="1:12" s="67" customFormat="1" x14ac:dyDescent="0.35">
      <c r="A25" s="218" t="s">
        <v>18</v>
      </c>
      <c r="B25" s="187" t="s">
        <v>67</v>
      </c>
      <c r="C25" s="188">
        <v>102</v>
      </c>
      <c r="D25" s="101">
        <f t="shared" si="2"/>
        <v>92.27970798135496</v>
      </c>
      <c r="E25" s="107">
        <v>81</v>
      </c>
      <c r="F25" s="101">
        <f t="shared" si="3"/>
        <v>72.156411503707147</v>
      </c>
      <c r="G25" s="69">
        <v>33</v>
      </c>
      <c r="H25" s="70">
        <v>8.1999999999999993</v>
      </c>
      <c r="I25" s="71">
        <v>4.3</v>
      </c>
    </row>
    <row r="26" spans="1:12" s="67" customFormat="1" x14ac:dyDescent="0.35">
      <c r="A26" s="219"/>
      <c r="B26" s="85" t="s">
        <v>84</v>
      </c>
      <c r="C26" s="79">
        <v>106</v>
      </c>
      <c r="D26" s="104">
        <f t="shared" si="2"/>
        <v>95.898520059055159</v>
      </c>
      <c r="E26" s="67">
        <v>82</v>
      </c>
      <c r="F26" s="104">
        <f t="shared" si="3"/>
        <v>73.047231398814645</v>
      </c>
      <c r="G26" s="73">
        <v>32</v>
      </c>
      <c r="H26" s="74">
        <v>6.4</v>
      </c>
      <c r="I26" s="75">
        <v>5.9</v>
      </c>
    </row>
    <row r="27" spans="1:12" s="67" customFormat="1" x14ac:dyDescent="0.35">
      <c r="A27" s="219"/>
      <c r="B27" s="85" t="s">
        <v>85</v>
      </c>
      <c r="C27" s="79">
        <v>110</v>
      </c>
      <c r="D27" s="104">
        <f t="shared" si="2"/>
        <v>99.517332136755343</v>
      </c>
      <c r="E27" s="67">
        <v>89</v>
      </c>
      <c r="F27" s="104">
        <f t="shared" si="3"/>
        <v>79.282970664567102</v>
      </c>
      <c r="G27" s="73">
        <v>35</v>
      </c>
      <c r="H27" s="74">
        <v>9.1999999999999993</v>
      </c>
      <c r="I27" s="75">
        <v>5.9</v>
      </c>
    </row>
    <row r="28" spans="1:12" s="67" customFormat="1" x14ac:dyDescent="0.35">
      <c r="A28" s="219"/>
      <c r="B28" s="85" t="s">
        <v>86</v>
      </c>
      <c r="C28" s="79">
        <v>113</v>
      </c>
      <c r="D28" s="104">
        <f t="shared" si="2"/>
        <v>102.2314411950305</v>
      </c>
      <c r="E28" s="67">
        <v>86</v>
      </c>
      <c r="F28" s="104">
        <f t="shared" si="3"/>
        <v>76.610510979244623</v>
      </c>
      <c r="G28" s="73">
        <v>29</v>
      </c>
      <c r="H28" s="74">
        <v>5.8</v>
      </c>
      <c r="I28" s="75">
        <v>5</v>
      </c>
    </row>
    <row r="29" spans="1:12" s="67" customFormat="1" ht="15" thickBot="1" x14ac:dyDescent="0.4">
      <c r="A29" s="220"/>
      <c r="B29" s="86" t="s">
        <v>87</v>
      </c>
      <c r="C29" s="81">
        <v>118</v>
      </c>
      <c r="D29" s="105">
        <f t="shared" si="2"/>
        <v>106.75495629215574</v>
      </c>
      <c r="E29" s="108">
        <v>95</v>
      </c>
      <c r="F29" s="105">
        <f t="shared" si="3"/>
        <v>84.627890035212076</v>
      </c>
      <c r="G29" s="82">
        <v>35</v>
      </c>
      <c r="H29" s="83">
        <v>7.4</v>
      </c>
      <c r="I29" s="84">
        <v>5.5</v>
      </c>
    </row>
    <row r="30" spans="1:12" s="76" customFormat="1" ht="15" thickBot="1" x14ac:dyDescent="0.4">
      <c r="A30" s="87"/>
      <c r="B30" s="43" t="s">
        <v>5</v>
      </c>
      <c r="C30" s="88"/>
      <c r="D30" s="43"/>
      <c r="E30" s="43"/>
      <c r="F30" s="43"/>
      <c r="G30" s="184">
        <v>31</v>
      </c>
      <c r="H30" s="185">
        <v>6.6</v>
      </c>
      <c r="I30" s="186">
        <v>5.5</v>
      </c>
    </row>
    <row r="31" spans="1:12" s="67" customFormat="1" x14ac:dyDescent="0.35">
      <c r="G31" s="89"/>
      <c r="H31" s="89"/>
      <c r="I31" s="89"/>
    </row>
    <row r="32" spans="1:12" s="67" customFormat="1" ht="18.5" customHeight="1" x14ac:dyDescent="0.35">
      <c r="B32" s="214" t="s">
        <v>83</v>
      </c>
      <c r="C32" s="214"/>
      <c r="D32" s="214"/>
      <c r="E32" s="214"/>
      <c r="F32" s="214"/>
      <c r="G32" s="89"/>
      <c r="H32" s="89"/>
    </row>
    <row r="33" spans="2:8" x14ac:dyDescent="0.35">
      <c r="B33" s="44" t="s">
        <v>55</v>
      </c>
      <c r="G33" s="74"/>
      <c r="H33" s="74"/>
    </row>
    <row r="34" spans="2:8" x14ac:dyDescent="0.35">
      <c r="B34" s="44" t="s">
        <v>56</v>
      </c>
      <c r="G34" s="90"/>
      <c r="H34" s="74"/>
    </row>
    <row r="35" spans="2:8" x14ac:dyDescent="0.35">
      <c r="B35" s="44" t="s">
        <v>72</v>
      </c>
      <c r="H35" s="90"/>
    </row>
  </sheetData>
  <sheetProtection selectLockedCells="1"/>
  <mergeCells count="13">
    <mergeCell ref="B32:F32"/>
    <mergeCell ref="A20:A24"/>
    <mergeCell ref="A25:A29"/>
    <mergeCell ref="F1:L3"/>
    <mergeCell ref="G13:I13"/>
    <mergeCell ref="A13:A14"/>
    <mergeCell ref="A15:A19"/>
    <mergeCell ref="C11:F11"/>
    <mergeCell ref="B13:B14"/>
    <mergeCell ref="C13:F13"/>
    <mergeCell ref="A7:F7"/>
    <mergeCell ref="A1:D1"/>
    <mergeCell ref="H6:H7"/>
  </mergeCells>
  <phoneticPr fontId="9"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8EF1-C62D-4253-B990-35750D9C5619}">
  <dimension ref="A1:L25"/>
  <sheetViews>
    <sheetView topLeftCell="E1" zoomScale="90" zoomScaleNormal="90" workbookViewId="0">
      <selection activeCell="T25" sqref="T25"/>
    </sheetView>
  </sheetViews>
  <sheetFormatPr defaultColWidth="8.90625" defaultRowHeight="14.5" x14ac:dyDescent="0.35"/>
  <cols>
    <col min="1" max="1" width="23.1796875" customWidth="1"/>
    <col min="2" max="2" width="21.90625" customWidth="1"/>
    <col min="3" max="9" width="12.54296875" customWidth="1"/>
    <col min="10" max="10" width="13.453125" customWidth="1"/>
    <col min="11" max="11" width="12.54296875" customWidth="1"/>
    <col min="12" max="12" width="16.36328125" customWidth="1"/>
  </cols>
  <sheetData>
    <row r="1" spans="1:12" ht="15" thickBot="1" x14ac:dyDescent="0.4"/>
    <row r="2" spans="1:12" s="10" customFormat="1" ht="15" customHeight="1" thickBot="1" x14ac:dyDescent="0.4">
      <c r="A2" s="238" t="s">
        <v>57</v>
      </c>
      <c r="B2" s="238" t="s">
        <v>21</v>
      </c>
      <c r="C2" s="252" t="s">
        <v>7</v>
      </c>
      <c r="D2" s="253"/>
      <c r="E2" s="240" t="s">
        <v>33</v>
      </c>
      <c r="F2" s="240"/>
      <c r="G2" s="240"/>
      <c r="H2" s="240"/>
      <c r="I2" s="240"/>
      <c r="J2" s="252" t="s">
        <v>6</v>
      </c>
      <c r="K2" s="253"/>
      <c r="L2" s="9"/>
    </row>
    <row r="3" spans="1:12" s="11" customFormat="1" ht="58.5" thickBot="1" x14ac:dyDescent="0.4">
      <c r="A3" s="251"/>
      <c r="B3" s="239"/>
      <c r="C3" s="133" t="s">
        <v>25</v>
      </c>
      <c r="D3" s="19" t="s">
        <v>70</v>
      </c>
      <c r="E3" s="24" t="s">
        <v>1</v>
      </c>
      <c r="F3" s="25" t="s">
        <v>2</v>
      </c>
      <c r="G3" s="25" t="s">
        <v>3</v>
      </c>
      <c r="H3" s="25" t="s">
        <v>36</v>
      </c>
      <c r="I3" s="26" t="s">
        <v>91</v>
      </c>
      <c r="J3" s="19" t="s">
        <v>4</v>
      </c>
      <c r="K3" s="20" t="s">
        <v>37</v>
      </c>
    </row>
    <row r="4" spans="1:12" s="11" customFormat="1" x14ac:dyDescent="0.35">
      <c r="A4" s="248" t="s">
        <v>19</v>
      </c>
      <c r="B4" s="27" t="str">
        <f>'Country data'!B15</f>
        <v>Region 1</v>
      </c>
      <c r="C4" s="134">
        <v>0.28999999999999998</v>
      </c>
      <c r="D4" s="109">
        <f>C4*'Country data'!F15</f>
        <v>10.075173013665774</v>
      </c>
      <c r="E4" s="112">
        <f>(1.96^2)*('Country data'!F15*(1000-'Country data'!F15))*'Country data'!$B$8/((D4^2)*(1-'Country data'!$B$9))</f>
        <v>1833.1833139144956</v>
      </c>
      <c r="F4" s="115">
        <f>E4*'Country data'!D15/1000</f>
        <v>99.509188755483663</v>
      </c>
      <c r="G4" s="119">
        <f>E4*'Country data'!F15/1000</f>
        <v>63.688410529150758</v>
      </c>
      <c r="H4" s="119">
        <f>1000*E4/('Country data'!G15*'Country data'!I15)</f>
        <v>12344.668780568993</v>
      </c>
      <c r="I4" s="120">
        <f>H4/'Country data'!$I$7</f>
        <v>98.757350244551944</v>
      </c>
      <c r="J4" s="121">
        <f>E4*'Country data'!G15</f>
        <v>49495.949475691377</v>
      </c>
      <c r="K4" s="122">
        <f>J4*'Country data'!H15/1000</f>
        <v>257.37893727359517</v>
      </c>
    </row>
    <row r="5" spans="1:12" s="1" customFormat="1" x14ac:dyDescent="0.35">
      <c r="A5" s="249"/>
      <c r="B5" s="28" t="str">
        <f>'Country data'!B16</f>
        <v>Region 2</v>
      </c>
      <c r="C5" s="135">
        <v>0.28999999999999998</v>
      </c>
      <c r="D5" s="110">
        <f>C5*'Country data'!F16</f>
        <v>10.591848552828123</v>
      </c>
      <c r="E5" s="113">
        <f>(1.96^2)*('Country data'!F16*(1000-'Country data'!F16))*'Country data'!$B$8/((D5^2)*(1-'Country data'!$B$9))</f>
        <v>1740.5411663677382</v>
      </c>
      <c r="F5" s="116">
        <f>E5*'Country data'!D16/1000</f>
        <v>97.629716616082291</v>
      </c>
      <c r="G5" s="123">
        <f>E5*'Country data'!F16/1000</f>
        <v>63.570856669413459</v>
      </c>
      <c r="H5" s="123">
        <f>1000*E5/('Country data'!G16*'Country data'!I16)</f>
        <v>10286.886326050462</v>
      </c>
      <c r="I5" s="124">
        <f>H5/'Country data'!$I$7</f>
        <v>82.295090608403697</v>
      </c>
      <c r="J5" s="125">
        <f>E5*'Country data'!G16</f>
        <v>62659.481989238579</v>
      </c>
      <c r="K5" s="126">
        <f>J5*'Country data'!H16/1000</f>
        <v>332.09525454296443</v>
      </c>
    </row>
    <row r="6" spans="1:12" s="1" customFormat="1" x14ac:dyDescent="0.35">
      <c r="A6" s="249"/>
      <c r="B6" s="28" t="str">
        <f>'Country data'!B17</f>
        <v>Region 3</v>
      </c>
      <c r="C6" s="135">
        <v>0.28999999999999998</v>
      </c>
      <c r="D6" s="110">
        <f>C6*'Country data'!F17</f>
        <v>11.625199631152816</v>
      </c>
      <c r="E6" s="113">
        <f>(1.96^2)*('Country data'!F17*(1000-'Country data'!F17))*'Country data'!$B$8/((D6^2)*(1-'Country data'!$B$9))</f>
        <v>1579.9614439533591</v>
      </c>
      <c r="F6" s="116">
        <f>E6*'Country data'!D17/1000</f>
        <v>92.910732779784638</v>
      </c>
      <c r="G6" s="123">
        <f>E6*'Country data'!F17/1000</f>
        <v>63.335748949938839</v>
      </c>
      <c r="H6" s="123">
        <f>1000*E6/('Country data'!G17*'Country data'!I17)</f>
        <v>8633.6690926413066</v>
      </c>
      <c r="I6" s="124">
        <f>H6/'Country data'!$I$7</f>
        <v>69.069352741130459</v>
      </c>
      <c r="J6" s="125">
        <f>E6*'Country data'!G17</f>
        <v>47398.843318600775</v>
      </c>
      <c r="K6" s="126">
        <f>J6*'Country data'!H17/1000</f>
        <v>293.87282857532477</v>
      </c>
    </row>
    <row r="7" spans="1:12" s="1" customFormat="1" x14ac:dyDescent="0.35">
      <c r="A7" s="249"/>
      <c r="B7" s="28" t="str">
        <f>'Country data'!B18</f>
        <v>Region 4</v>
      </c>
      <c r="C7" s="135">
        <v>0.28999999999999998</v>
      </c>
      <c r="D7" s="110">
        <f>C7*'Country data'!F18</f>
        <v>14.208577326964553</v>
      </c>
      <c r="E7" s="113">
        <f>(1.96^2)*('Country data'!F18*(1000-'Country data'!F18))*'Country data'!$B$8/((D7^2)*(1-'Country data'!$B$9))</f>
        <v>1280.6992339992887</v>
      </c>
      <c r="F7" s="116">
        <f>E7*'Country data'!D18/1000</f>
        <v>81.105672478215226</v>
      </c>
      <c r="G7" s="123">
        <f>E7*'Country data'!F18/1000</f>
        <v>62.747979651252294</v>
      </c>
      <c r="H7" s="123">
        <f>1000*E7/('Country data'!G18*'Country data'!I18)</f>
        <v>10890.299608837488</v>
      </c>
      <c r="I7" s="124">
        <f>H7/'Country data'!$I$7</f>
        <v>87.122396870699902</v>
      </c>
      <c r="J7" s="125">
        <f>E7*'Country data'!G18</f>
        <v>30736.781615982931</v>
      </c>
      <c r="K7" s="126">
        <f>J7*'Country data'!H18/1000</f>
        <v>184.42068969589758</v>
      </c>
    </row>
    <row r="8" spans="1:12" s="11" customFormat="1" ht="15" thickBot="1" x14ac:dyDescent="0.4">
      <c r="A8" s="250"/>
      <c r="B8" s="29" t="str">
        <f>'Country data'!B19</f>
        <v>Region 5</v>
      </c>
      <c r="C8" s="136">
        <v>0.28999999999999998</v>
      </c>
      <c r="D8" s="111">
        <f>C8*'Country data'!F19</f>
        <v>14.983590635708074</v>
      </c>
      <c r="E8" s="113">
        <f>(1.96^2)*('Country data'!F19*(1000-'Country data'!F19))*'Country data'!$B$8/((D8^2)*(1-'Country data'!$B$9))</f>
        <v>1211.0433747858415</v>
      </c>
      <c r="F8" s="116">
        <f>E8*'Country data'!D19/1000</f>
        <v>85.45949863022922</v>
      </c>
      <c r="G8" s="123">
        <f>E8*'Country data'!F19/1000</f>
        <v>62.571648861646345</v>
      </c>
      <c r="H8" s="123">
        <f>1000*E8/('Country data'!G19*'Country data'!I19)</f>
        <v>7635.8346455601604</v>
      </c>
      <c r="I8" s="124">
        <f>H8/'Country data'!$I$7</f>
        <v>61.08667716448128</v>
      </c>
      <c r="J8" s="125">
        <f>E8*'Country data'!G19</f>
        <v>31487.127744431877</v>
      </c>
      <c r="K8" s="126">
        <f>J8*'Country data'!H19/1000</f>
        <v>182.62534091770488</v>
      </c>
    </row>
    <row r="9" spans="1:12" s="11" customFormat="1" x14ac:dyDescent="0.35">
      <c r="A9" s="245" t="s">
        <v>17</v>
      </c>
      <c r="B9" s="91" t="str">
        <f>'Country data'!B20</f>
        <v>Region 6</v>
      </c>
      <c r="C9" s="134">
        <v>0.25</v>
      </c>
      <c r="D9" s="109">
        <f>C9*'Country data'!F20</f>
        <v>15.143938216827426</v>
      </c>
      <c r="E9" s="115">
        <f>(1.96^2)*('Country data'!F20*(1000-'Country data'!F20))*'Country data'!$B$8/((D9^2)*(1-'Country data'!$B$9))</f>
        <v>1376.879434294729</v>
      </c>
      <c r="F9" s="115">
        <f>E9*'Country data'!D20/1000</f>
        <v>103.39035947202761</v>
      </c>
      <c r="G9" s="119">
        <f>E9*'Country data'!F20/1000</f>
        <v>83.405508339918683</v>
      </c>
      <c r="H9" s="119">
        <f>1000*E9/('Country data'!G20*'Country data'!I20)</f>
        <v>10244.638648026259</v>
      </c>
      <c r="I9" s="120">
        <f>H9/'Country data'!$I$7</f>
        <v>81.957109184210069</v>
      </c>
      <c r="J9" s="121">
        <f>E9*'Country data'!G20</f>
        <v>33045.106423073492</v>
      </c>
      <c r="K9" s="122">
        <f>J9*'Country data'!H20/1000</f>
        <v>194.9661278961336</v>
      </c>
    </row>
    <row r="10" spans="1:12" s="11" customFormat="1" x14ac:dyDescent="0.35">
      <c r="A10" s="246"/>
      <c r="B10" s="191" t="str">
        <f>'Country data'!B21</f>
        <v>Region 7</v>
      </c>
      <c r="C10" s="135">
        <v>0.25</v>
      </c>
      <c r="D10" s="110">
        <f>C10*'Country data'!F21</f>
        <v>13.585003400389308</v>
      </c>
      <c r="E10" s="116">
        <f>(1.96^2)*('Country data'!F21*(1000-'Country data'!F21))*'Country data'!$B$8/((D10^2)*(1-'Country data'!$B$9))</f>
        <v>1545.0702793959458</v>
      </c>
      <c r="F10" s="116">
        <f>E10*'Country data'!D21/1000</f>
        <v>120.21335824143374</v>
      </c>
      <c r="G10" s="123">
        <f>E10*'Country data'!F21/1000</f>
        <v>83.959139997737523</v>
      </c>
      <c r="H10" s="123">
        <f>1000*E10/('Country data'!G21*'Country data'!I21)</f>
        <v>10052.506697436213</v>
      </c>
      <c r="I10" s="124">
        <f>H10/'Country data'!$I$7</f>
        <v>80.420053579489704</v>
      </c>
      <c r="J10" s="125">
        <f>E10*'Country data'!G21</f>
        <v>44807.038102482431</v>
      </c>
      <c r="K10" s="126">
        <f>J10*'Country data'!H21/1000</f>
        <v>286.76504385588754</v>
      </c>
    </row>
    <row r="11" spans="1:12" s="1" customFormat="1" x14ac:dyDescent="0.35">
      <c r="A11" s="246"/>
      <c r="B11" s="191" t="str">
        <f>'Country data'!B22</f>
        <v>Region 8</v>
      </c>
      <c r="C11" s="135">
        <v>0.25</v>
      </c>
      <c r="D11" s="110">
        <f>C11*'Country data'!F22</f>
        <v>16.257463085711795</v>
      </c>
      <c r="E11" s="116">
        <f>(1.96^2)*('Country data'!F22*(1000-'Country data'!F22))*'Country data'!$B$8/((D11^2)*(1-'Country data'!$B$9))</f>
        <v>1276.491552189306</v>
      </c>
      <c r="F11" s="116">
        <f>E11*'Country data'!D22/1000</f>
        <v>100.4715812536522</v>
      </c>
      <c r="G11" s="123">
        <f>E11*'Country data'!F22/1000</f>
        <v>83.010057155762382</v>
      </c>
      <c r="H11" s="123">
        <f>1000*E11/('Country data'!G22*'Country data'!I22)</f>
        <v>6433.9291945025507</v>
      </c>
      <c r="I11" s="124">
        <f>H11/'Country data'!$I$7</f>
        <v>51.471433556020408</v>
      </c>
      <c r="J11" s="125">
        <f>E11*'Country data'!G22</f>
        <v>39571.238117868488</v>
      </c>
      <c r="K11" s="126">
        <f>J11*'Country data'!H22/1000</f>
        <v>273.0415430132926</v>
      </c>
    </row>
    <row r="12" spans="1:12" s="1" customFormat="1" x14ac:dyDescent="0.35">
      <c r="A12" s="246"/>
      <c r="B12" s="191" t="str">
        <f>'Country data'!B23</f>
        <v>Region 9</v>
      </c>
      <c r="C12" s="135">
        <v>0.25</v>
      </c>
      <c r="D12" s="110">
        <f>C12*'Country data'!F23</f>
        <v>16.480168059488669</v>
      </c>
      <c r="E12" s="116">
        <f>(1.96^2)*('Country data'!F23*(1000-'Country data'!F23))*'Country data'!$B$8/((D12^2)*(1-'Country data'!$B$9))</f>
        <v>1258.0418873699307</v>
      </c>
      <c r="F12" s="116">
        <f>E12*'Country data'!D23/1000</f>
        <v>101.29573217194192</v>
      </c>
      <c r="G12" s="123">
        <f>E12*'Country data'!F23/1000</f>
        <v>82.930966918931091</v>
      </c>
      <c r="H12" s="123">
        <f>1000*E12/('Country data'!G23*'Country data'!I23)</f>
        <v>5427.2730257546627</v>
      </c>
      <c r="I12" s="124">
        <f>H12/'Country data'!$I$7</f>
        <v>43.418184206037303</v>
      </c>
      <c r="J12" s="125">
        <f>E12*'Country data'!G23</f>
        <v>47805.591720057368</v>
      </c>
      <c r="K12" s="126">
        <f>J12*'Country data'!H23/1000</f>
        <v>301.17522783636139</v>
      </c>
    </row>
    <row r="13" spans="1:12" s="11" customFormat="1" ht="15" thickBot="1" x14ac:dyDescent="0.4">
      <c r="A13" s="247"/>
      <c r="B13" s="192" t="str">
        <f>'Country data'!B24</f>
        <v>Region 10</v>
      </c>
      <c r="C13" s="136">
        <v>0.25</v>
      </c>
      <c r="D13" s="111">
        <f>C13*'Country data'!F24</f>
        <v>17.593692928373038</v>
      </c>
      <c r="E13" s="116">
        <f>(1.96^2)*('Country data'!F24*(1000-'Country data'!F24))*'Country data'!$B$8/((D13^2)*(1-'Country data'!$B$9))</f>
        <v>1172.7997651031985</v>
      </c>
      <c r="F13" s="116">
        <f>E13*'Country data'!D24/1000</f>
        <v>98.676300446296182</v>
      </c>
      <c r="G13" s="123">
        <f>E13*'Country data'!F24/1000</f>
        <v>82.535515734774819</v>
      </c>
      <c r="H13" s="123">
        <f>1000*E13/('Country data'!G24*'Country data'!I24)</f>
        <v>8144.4428132166568</v>
      </c>
      <c r="I13" s="124">
        <f>H13/'Country data'!$I$7</f>
        <v>65.155542505733251</v>
      </c>
      <c r="J13" s="125">
        <f>E13*'Country data'!G24</f>
        <v>35183.992953095956</v>
      </c>
      <c r="K13" s="126">
        <f>J13*'Country data'!H24/1000</f>
        <v>292.02714151069642</v>
      </c>
    </row>
    <row r="14" spans="1:12" s="11" customFormat="1" x14ac:dyDescent="0.35">
      <c r="A14" s="242" t="s">
        <v>18</v>
      </c>
      <c r="B14" s="42" t="str">
        <f>'Country data'!B25</f>
        <v>Region 11</v>
      </c>
      <c r="C14" s="134">
        <v>0.2</v>
      </c>
      <c r="D14" s="109">
        <f>C14*'Country data'!F25</f>
        <v>14.431282300741429</v>
      </c>
      <c r="E14" s="115">
        <f>(1.96^2)*('Country data'!F25*(1000-'Country data'!F25))*'Country data'!$B$8/((D14^2)*(1-'Country data'!$B$9))</f>
        <v>1783.8274335313226</v>
      </c>
      <c r="F14" s="115">
        <f>E14*'Country data'!D25/1000</f>
        <v>164.61107465540033</v>
      </c>
      <c r="G14" s="119">
        <f>E14*'Country data'!F25/1000</f>
        <v>128.71458634548793</v>
      </c>
      <c r="H14" s="119">
        <f>1000*E14/('Country data'!G25*'Country data'!I25)</f>
        <v>12571.017854343359</v>
      </c>
      <c r="I14" s="120">
        <f>H14/'Country data'!$I$7</f>
        <v>100.56814283474688</v>
      </c>
      <c r="J14" s="121">
        <f>E14*'Country data'!G25</f>
        <v>58866.30530653365</v>
      </c>
      <c r="K14" s="122">
        <f>J14*'Country data'!H25/1000</f>
        <v>482.70370351357587</v>
      </c>
    </row>
    <row r="15" spans="1:12" s="11" customFormat="1" x14ac:dyDescent="0.35">
      <c r="A15" s="243"/>
      <c r="B15" s="30" t="str">
        <f>'Country data'!B26</f>
        <v>Region 12</v>
      </c>
      <c r="C15" s="135">
        <v>0.2</v>
      </c>
      <c r="D15" s="110">
        <f>C15*'Country data'!F26</f>
        <v>14.609446279762929</v>
      </c>
      <c r="E15" s="116">
        <f>(1.96^2)*('Country data'!F26*(1000-'Country data'!F26))*'Country data'!$B$8/((D15^2)*(1-'Country data'!$B$9))</f>
        <v>1760.381678921862</v>
      </c>
      <c r="F15" s="116">
        <f>E15*'Country data'!D26/1000</f>
        <v>168.81799774768137</v>
      </c>
      <c r="G15" s="123">
        <f>E15*'Country data'!F26/1000</f>
        <v>128.5910078504391</v>
      </c>
      <c r="H15" s="123">
        <f>1000*E15/('Country data'!G26*'Country data'!I26)</f>
        <v>9324.0555027640985</v>
      </c>
      <c r="I15" s="124">
        <f>H15/'Country data'!$I$7</f>
        <v>74.592444022112787</v>
      </c>
      <c r="J15" s="125">
        <f>E15*'Country data'!G26</f>
        <v>56332.213725499583</v>
      </c>
      <c r="K15" s="126">
        <f>J15*'Country data'!H26/1000</f>
        <v>360.52616784319736</v>
      </c>
    </row>
    <row r="16" spans="1:12" s="11" customFormat="1" x14ac:dyDescent="0.35">
      <c r="A16" s="243"/>
      <c r="B16" s="30" t="str">
        <f>'Country data'!B27</f>
        <v>Region 13</v>
      </c>
      <c r="C16" s="135">
        <v>0.2</v>
      </c>
      <c r="D16" s="110">
        <f>C16*'Country data'!F27</f>
        <v>15.856594132913422</v>
      </c>
      <c r="E16" s="116">
        <f>(1.96^2)*('Country data'!F27*(1000-'Country data'!F27))*'Country data'!$B$8/((D16^2)*(1-'Country data'!$B$9))</f>
        <v>1611.0137815784447</v>
      </c>
      <c r="F16" s="116">
        <f>E16*'Country data'!D27/1000</f>
        <v>160.32379357823228</v>
      </c>
      <c r="G16" s="123">
        <f>E16*'Country data'!F27/1000</f>
        <v>127.72595838509714</v>
      </c>
      <c r="H16" s="123">
        <f>1000*E16/('Country data'!G27*'Country data'!I27)</f>
        <v>7801.5195233822988</v>
      </c>
      <c r="I16" s="124">
        <f>H16/'Country data'!$I$7</f>
        <v>62.412156187058393</v>
      </c>
      <c r="J16" s="125">
        <f>E16*'Country data'!G27</f>
        <v>56385.482355245564</v>
      </c>
      <c r="K16" s="126">
        <f>J16*'Country data'!H27/1000</f>
        <v>518.74643766825909</v>
      </c>
    </row>
    <row r="17" spans="1:12" s="11" customFormat="1" x14ac:dyDescent="0.35">
      <c r="A17" s="243"/>
      <c r="B17" s="30" t="str">
        <f>'Country data'!B28</f>
        <v>Region 14</v>
      </c>
      <c r="C17" s="135">
        <v>0.2</v>
      </c>
      <c r="D17" s="110">
        <f>C17*'Country data'!F28</f>
        <v>15.322102195848926</v>
      </c>
      <c r="E17" s="116">
        <f>(1.96^2)*('Country data'!F28*(1000-'Country data'!F28))*'Country data'!$B$8/((D17^2)*(1-'Country data'!$B$9))</f>
        <v>1672.0511615559874</v>
      </c>
      <c r="F17" s="116">
        <f>E17*'Country data'!D28/1000</f>
        <v>170.93619999769336</v>
      </c>
      <c r="G17" s="123">
        <f>E17*'Country data'!F28/1000</f>
        <v>128.09669387024371</v>
      </c>
      <c r="H17" s="123">
        <f>1000*E17/('Country data'!G28*'Country data'!I28)</f>
        <v>11531.387321075774</v>
      </c>
      <c r="I17" s="124">
        <f>H17/'Country data'!$I$7</f>
        <v>92.251098568606196</v>
      </c>
      <c r="J17" s="125">
        <f>E17*'Country data'!G28</f>
        <v>48489.483685123632</v>
      </c>
      <c r="K17" s="126">
        <f>J17*'Country data'!H28/1000</f>
        <v>281.23900537371708</v>
      </c>
    </row>
    <row r="18" spans="1:12" s="11" customFormat="1" ht="15" thickBot="1" x14ac:dyDescent="0.4">
      <c r="A18" s="244"/>
      <c r="B18" s="31" t="str">
        <f>'Country data'!B29</f>
        <v>Region 15</v>
      </c>
      <c r="C18" s="136">
        <v>0.2</v>
      </c>
      <c r="D18" s="111">
        <f>C18*'Country data'!F29</f>
        <v>16.925578007042414</v>
      </c>
      <c r="E18" s="117">
        <f>(1.96^2)*('Country data'!F29*(1000-'Country data'!F29))*'Country data'!$B$8/((D18^2)*(1-'Country data'!$B$9))</f>
        <v>1500.5039988822625</v>
      </c>
      <c r="F18" s="117">
        <f>E18*'Country data'!D29/1000</f>
        <v>160.18623881688086</v>
      </c>
      <c r="G18" s="127">
        <f>E18*'Country data'!F29/1000</f>
        <v>126.98448741480409</v>
      </c>
      <c r="H18" s="127">
        <f>1000*E18/('Country data'!G29*'Country data'!I29)</f>
        <v>7794.8259682195458</v>
      </c>
      <c r="I18" s="128">
        <f>H18/'Country data'!$I$7</f>
        <v>62.358607745756366</v>
      </c>
      <c r="J18" s="129">
        <f>E18*'Country data'!G29</f>
        <v>52517.639960879191</v>
      </c>
      <c r="K18" s="130">
        <f>J18*'Country data'!H29/1000</f>
        <v>388.63053571050602</v>
      </c>
    </row>
    <row r="19" spans="1:12" s="1" customFormat="1" ht="15" thickBot="1" x14ac:dyDescent="0.4">
      <c r="A19" s="11"/>
      <c r="B19" s="12" t="s">
        <v>5</v>
      </c>
      <c r="C19" s="13"/>
      <c r="D19" s="43"/>
      <c r="E19" s="114">
        <f t="shared" ref="E19:K19" si="0">SUM(E4:E18)</f>
        <v>22602.489505843711</v>
      </c>
      <c r="F19" s="118">
        <f t="shared" si="0"/>
        <v>1805.5374456410348</v>
      </c>
      <c r="G19" s="131">
        <f t="shared" si="0"/>
        <v>1371.868566674598</v>
      </c>
      <c r="H19" s="131">
        <f t="shared" si="0"/>
        <v>139116.95500237984</v>
      </c>
      <c r="I19" s="132">
        <f t="shared" si="0"/>
        <v>1112.9356400190386</v>
      </c>
      <c r="J19" s="131">
        <f t="shared" si="0"/>
        <v>694782.27649380488</v>
      </c>
      <c r="K19" s="132">
        <f t="shared" si="0"/>
        <v>4630.2139852271139</v>
      </c>
    </row>
    <row r="20" spans="1:12" s="1" customFormat="1" x14ac:dyDescent="0.35">
      <c r="A20" s="11"/>
      <c r="B20" s="10"/>
      <c r="C20" s="10"/>
      <c r="D20" s="10"/>
      <c r="E20" s="23"/>
      <c r="F20" s="23"/>
      <c r="G20" s="32"/>
      <c r="H20" s="32"/>
      <c r="I20" s="32"/>
      <c r="J20" s="32"/>
      <c r="K20" s="32"/>
    </row>
    <row r="21" spans="1:12" s="11" customFormat="1" x14ac:dyDescent="0.35">
      <c r="B21" s="241" t="s">
        <v>71</v>
      </c>
      <c r="C21" s="241"/>
      <c r="D21" s="241"/>
      <c r="E21" s="241"/>
      <c r="F21" s="241"/>
      <c r="G21" s="241"/>
      <c r="H21" s="241"/>
      <c r="I21" s="2"/>
      <c r="J21" s="8"/>
      <c r="K21" s="2"/>
      <c r="L21" s="2"/>
    </row>
    <row r="23" spans="1:12" ht="14.4" customHeight="1" x14ac:dyDescent="0.35">
      <c r="B23" s="237" t="s">
        <v>97</v>
      </c>
      <c r="C23" s="237"/>
      <c r="D23" s="237"/>
      <c r="E23" s="237"/>
      <c r="F23" s="237"/>
      <c r="G23" s="237"/>
      <c r="H23" s="237"/>
    </row>
    <row r="24" spans="1:12" x14ac:dyDescent="0.35">
      <c r="B24" s="237"/>
      <c r="C24" s="237"/>
      <c r="D24" s="237"/>
      <c r="E24" s="237"/>
      <c r="F24" s="237"/>
      <c r="G24" s="237"/>
      <c r="H24" s="237"/>
    </row>
    <row r="25" spans="1:12" x14ac:dyDescent="0.35">
      <c r="B25" s="237"/>
      <c r="C25" s="237"/>
      <c r="D25" s="237"/>
      <c r="E25" s="237"/>
      <c r="F25" s="237"/>
      <c r="G25" s="237"/>
      <c r="H25" s="237"/>
    </row>
  </sheetData>
  <sheetProtection selectLockedCells="1"/>
  <mergeCells count="10">
    <mergeCell ref="J2:K2"/>
    <mergeCell ref="C2:D2"/>
    <mergeCell ref="B23:H25"/>
    <mergeCell ref="B2:B3"/>
    <mergeCell ref="E2:I2"/>
    <mergeCell ref="B21:H21"/>
    <mergeCell ref="A14:A18"/>
    <mergeCell ref="A9:A13"/>
    <mergeCell ref="A4:A8"/>
    <mergeCell ref="A2:A3"/>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0479-7C4A-4471-BF66-0DD3DAFFC320}">
  <dimension ref="A1:T30"/>
  <sheetViews>
    <sheetView zoomScale="60" zoomScaleNormal="60" workbookViewId="0">
      <selection activeCell="B27" sqref="B27:P27"/>
    </sheetView>
  </sheetViews>
  <sheetFormatPr defaultColWidth="8.90625" defaultRowHeight="14.5" x14ac:dyDescent="0.35"/>
  <cols>
    <col min="1" max="1" width="35.08984375" customWidth="1"/>
    <col min="2" max="2" width="17.08984375" customWidth="1"/>
    <col min="3" max="3" width="10.90625" customWidth="1"/>
    <col min="4" max="4" width="9.90625" customWidth="1"/>
    <col min="5" max="7" width="10.90625" customWidth="1"/>
    <col min="8" max="8" width="11.81640625" customWidth="1"/>
    <col min="9" max="9" width="11.1796875" customWidth="1"/>
    <col min="10" max="10" width="10.90625" customWidth="1"/>
    <col min="11" max="11" width="11.54296875" customWidth="1"/>
    <col min="12" max="20" width="10.90625" customWidth="1"/>
  </cols>
  <sheetData>
    <row r="1" spans="1:20" ht="15" thickBot="1" x14ac:dyDescent="0.4">
      <c r="A1" s="94"/>
      <c r="B1" s="95" t="s">
        <v>34</v>
      </c>
      <c r="C1" s="96" t="s">
        <v>35</v>
      </c>
      <c r="E1" s="256" t="s">
        <v>79</v>
      </c>
      <c r="F1" s="256"/>
      <c r="G1" s="256"/>
      <c r="H1" s="256"/>
      <c r="I1" s="256"/>
      <c r="J1" s="256"/>
      <c r="K1" s="256"/>
    </row>
    <row r="2" spans="1:20" x14ac:dyDescent="0.35">
      <c r="A2" s="97" t="s">
        <v>41</v>
      </c>
      <c r="B2" s="137">
        <v>0.2</v>
      </c>
      <c r="C2" s="138">
        <v>0.3</v>
      </c>
      <c r="E2" s="256"/>
      <c r="F2" s="256"/>
      <c r="G2" s="256"/>
      <c r="H2" s="256"/>
      <c r="I2" s="256"/>
      <c r="J2" s="256"/>
      <c r="K2" s="256"/>
    </row>
    <row r="3" spans="1:20" ht="15" thickBot="1" x14ac:dyDescent="0.4">
      <c r="A3" s="98" t="s">
        <v>42</v>
      </c>
      <c r="B3" s="139">
        <v>0.02</v>
      </c>
      <c r="C3" s="140">
        <v>1.4999999999999999E-2</v>
      </c>
      <c r="E3" s="256"/>
      <c r="F3" s="256"/>
      <c r="G3" s="256"/>
      <c r="H3" s="256"/>
      <c r="I3" s="256"/>
      <c r="J3" s="256"/>
      <c r="K3" s="256"/>
    </row>
    <row r="4" spans="1:20" ht="15" thickBot="1" x14ac:dyDescent="0.4"/>
    <row r="5" spans="1:20" ht="15" thickBot="1" x14ac:dyDescent="0.4">
      <c r="A5" s="271" t="s">
        <v>68</v>
      </c>
      <c r="B5" s="273" t="s">
        <v>69</v>
      </c>
      <c r="C5" s="254" t="s">
        <v>15</v>
      </c>
      <c r="D5" s="255"/>
      <c r="E5" s="270"/>
      <c r="F5" s="254" t="s">
        <v>20</v>
      </c>
      <c r="G5" s="255"/>
      <c r="H5" s="255"/>
      <c r="I5" s="255"/>
      <c r="J5" s="254" t="s">
        <v>14</v>
      </c>
      <c r="K5" s="255"/>
      <c r="L5" s="255"/>
      <c r="M5" s="255"/>
      <c r="N5" s="257" t="s">
        <v>39</v>
      </c>
      <c r="O5" s="258"/>
      <c r="P5" s="258"/>
      <c r="Q5" s="258"/>
      <c r="R5" s="258"/>
      <c r="S5" s="258"/>
      <c r="T5" s="259"/>
    </row>
    <row r="6" spans="1:20" s="11" customFormat="1" ht="74.400000000000006" customHeight="1" thickBot="1" x14ac:dyDescent="0.4">
      <c r="A6" s="272"/>
      <c r="B6" s="274"/>
      <c r="C6" s="33" t="str">
        <f>'Sample size calculation'!E3</f>
        <v>Number of annual births (based on IMR)</v>
      </c>
      <c r="D6" s="34" t="str">
        <f>'Sample size calculation'!F3</f>
        <v>Estimated annual under-five deaths</v>
      </c>
      <c r="E6" s="35" t="str">
        <f>'Sample size calculation'!G3</f>
        <v>Estimated annual infant deaths</v>
      </c>
      <c r="F6" s="21" t="s">
        <v>43</v>
      </c>
      <c r="G6" s="22" t="s">
        <v>44</v>
      </c>
      <c r="H6" s="22" t="s">
        <v>45</v>
      </c>
      <c r="I6" s="194" t="s">
        <v>46</v>
      </c>
      <c r="J6" s="37" t="s">
        <v>90</v>
      </c>
      <c r="K6" s="22" t="s">
        <v>47</v>
      </c>
      <c r="L6" s="37" t="s">
        <v>48</v>
      </c>
      <c r="M6" s="22" t="s">
        <v>49</v>
      </c>
      <c r="N6" s="36" t="s">
        <v>16</v>
      </c>
      <c r="O6" s="37" t="s">
        <v>40</v>
      </c>
      <c r="P6" s="37" t="s">
        <v>51</v>
      </c>
      <c r="Q6" s="37" t="s">
        <v>43</v>
      </c>
      <c r="R6" s="37" t="s">
        <v>89</v>
      </c>
      <c r="S6" s="37" t="s">
        <v>45</v>
      </c>
      <c r="T6" s="38" t="s">
        <v>50</v>
      </c>
    </row>
    <row r="7" spans="1:20" s="1" customFormat="1" ht="15" thickBot="1" x14ac:dyDescent="0.4">
      <c r="A7" s="268" t="str">
        <f>'[1]Presentation-1'!A6</f>
        <v>Low burden</v>
      </c>
      <c r="B7" s="269"/>
      <c r="C7" s="141">
        <f>SUM(C8:C12)</f>
        <v>7645.4285330207231</v>
      </c>
      <c r="D7" s="145">
        <f t="shared" ref="D7:E7" si="0">SUM(D8:D12)</f>
        <v>456.61480925979504</v>
      </c>
      <c r="E7" s="146">
        <f t="shared" si="0"/>
        <v>315.91464466140167</v>
      </c>
      <c r="F7" s="147">
        <f>SQRT((1.96^2)*($B$2*(1-$B$2)*'Country data'!$B$8/(D7*(1-'Country data'!$B$9))))</f>
        <v>4.4095217362543571E-2</v>
      </c>
      <c r="G7" s="148">
        <f>F7/$B$2</f>
        <v>0.22047608681271785</v>
      </c>
      <c r="H7" s="148">
        <f>SQRT((1.96^2)*($C$2*(1-$C$2)*'Country data'!$B$8/(E7*(1-'Country data'!$B$9))))</f>
        <v>6.0733912693383588E-2</v>
      </c>
      <c r="I7" s="195">
        <f>H7/$C$2</f>
        <v>0.20244637564461196</v>
      </c>
      <c r="J7" s="149">
        <f>SQRT((1.96^2)*($B$3*(1-$B$3)*'Country data'!$B$8/('CoD precision'!D7*(1-'Country data'!$B$9))))</f>
        <v>1.5433326076890247E-2</v>
      </c>
      <c r="K7" s="148">
        <f>J7/$B$2</f>
        <v>7.7166630384451235E-2</v>
      </c>
      <c r="L7" s="149">
        <f>SQRT((1.96^2)*($C$3*(1-$C$3)*'Country data'!$B$8/('CoD precision'!E7*(1-'Country data'!$B$9))))</f>
        <v>1.6109622299336296E-2</v>
      </c>
      <c r="M7" s="148">
        <f>L7/$B$2</f>
        <v>8.0548111496681479E-2</v>
      </c>
      <c r="N7" s="141">
        <f>C7*2</f>
        <v>15290.857066041446</v>
      </c>
      <c r="O7" s="145">
        <f>D7*2</f>
        <v>913.22961851959008</v>
      </c>
      <c r="P7" s="145">
        <f>E7*2</f>
        <v>631.82928932280333</v>
      </c>
      <c r="Q7" s="149">
        <f>SQRT((1.96^2)*($B$2*(1-$B$2)*'Country data'!$B$8/(O7*(1-'Country data'!$B$9))))</f>
        <v>3.1180027214949349E-2</v>
      </c>
      <c r="R7" s="149">
        <f>SQRT((1.96^2)*($B$3*(1-$B$3)*'Country data'!$B$8/(O7*(1-'Country data'!$B$9))))</f>
        <v>1.091300952523227E-2</v>
      </c>
      <c r="S7" s="149">
        <f>SQRT((1.96^2)*($C$2*(1-$C$2)*'Country data'!$B$8/(P7*(1-'Country data'!$B$9))))</f>
        <v>4.2945361513483271E-2</v>
      </c>
      <c r="T7" s="150">
        <f>SQRT((1.96^2)*($C$3*(1-$C$3)*'Country data'!$B$8/(P7*(1-'Country data'!$B$9))))</f>
        <v>1.1391223170214718E-2</v>
      </c>
    </row>
    <row r="8" spans="1:20" x14ac:dyDescent="0.35">
      <c r="A8" s="265"/>
      <c r="B8" s="27" t="str">
        <f>'Country data'!B15</f>
        <v>Region 1</v>
      </c>
      <c r="C8" s="93">
        <f>'Sample size calculation'!E4</f>
        <v>1833.1833139144956</v>
      </c>
      <c r="D8" s="93">
        <f>'Sample size calculation'!F4</f>
        <v>99.509188755483663</v>
      </c>
      <c r="E8" s="151">
        <f>'Sample size calculation'!G4</f>
        <v>63.688410529150758</v>
      </c>
      <c r="F8" s="152">
        <f>SQRT((1.96^2)*($B$2*(1-$B$2)*'Country data'!$B$8/(D8*(1-'Country data'!$B$9))))</f>
        <v>9.4457161646609902E-2</v>
      </c>
      <c r="G8" s="153">
        <f t="shared" ref="G8:G25" si="1">F8/$B$2</f>
        <v>0.4722858082330495</v>
      </c>
      <c r="H8" s="153">
        <f>SQRT((1.96^2)*($C$2*(1-$C$2)*'Country data'!$B$8/(E8*(1-'Country data'!$B$9))))</f>
        <v>0.13526515514823617</v>
      </c>
      <c r="I8" s="196">
        <f t="shared" ref="I8:I25" si="2">H8/$C$2</f>
        <v>0.45088385049412061</v>
      </c>
      <c r="J8" s="154">
        <f>SQRT((1.96^2)*($B$3*(1-$B$3)*'Country data'!$B$8/('CoD precision'!D8*(1-'Country data'!$B$9))))</f>
        <v>3.3060006576313458E-2</v>
      </c>
      <c r="K8" s="153">
        <f t="shared" ref="K8:M25" si="3">J8/$B$2</f>
        <v>0.16530003288156728</v>
      </c>
      <c r="L8" s="154">
        <f>SQRT((1.96^2)*($C$3*(1-$C$3)*'Country data'!$B$8/('CoD precision'!E8*(1-'Country data'!$B$9))))</f>
        <v>3.587897540374671E-2</v>
      </c>
      <c r="M8" s="153">
        <f t="shared" si="3"/>
        <v>0.17939487701873355</v>
      </c>
      <c r="N8" s="155">
        <f t="shared" ref="N8:O12" si="4">C8*2</f>
        <v>3666.3666278289911</v>
      </c>
      <c r="O8" s="93">
        <f t="shared" si="4"/>
        <v>199.01837751096733</v>
      </c>
      <c r="P8" s="93">
        <f t="shared" ref="P8:P25" si="5">E8*2</f>
        <v>127.37682105830152</v>
      </c>
      <c r="Q8" s="154">
        <f>SQRT((1.96^2)*($B$2*(1-$B$2)*'Country data'!$B$8/(O8*(1-'Country data'!$B$9))))</f>
        <v>6.6791299531951731E-2</v>
      </c>
      <c r="R8" s="154">
        <f>SQRT((1.96^2)*($B$3*(1-$B$3)*'Country data'!$B$8/(O8*(1-'Country data'!$B$9))))</f>
        <v>2.3376954836183104E-2</v>
      </c>
      <c r="S8" s="154">
        <f>SQRT((1.96^2)*($C$2*(1-$C$2)*'Country data'!$B$8/(P8*(1-'Country data'!$B$9))))</f>
        <v>9.5646908463568242E-2</v>
      </c>
      <c r="T8" s="207">
        <f>SQRT((1.96^2)*($C$3*(1-$C$3)*'Country data'!$B$8/(P8*(1-'Country data'!$B$9))))</f>
        <v>2.5370266810014645E-2</v>
      </c>
    </row>
    <row r="9" spans="1:20" x14ac:dyDescent="0.35">
      <c r="A9" s="265"/>
      <c r="B9" s="28" t="str">
        <f>'Country data'!B16</f>
        <v>Region 2</v>
      </c>
      <c r="C9" s="93">
        <f>'Sample size calculation'!E5</f>
        <v>1740.5411663677382</v>
      </c>
      <c r="D9" s="93">
        <f>'Sample size calculation'!F5</f>
        <v>97.629716616082291</v>
      </c>
      <c r="E9" s="151">
        <f>'Sample size calculation'!G5</f>
        <v>63.570856669413459</v>
      </c>
      <c r="F9" s="152">
        <f>SQRT((1.96^2)*($B$2*(1-$B$2)*'Country data'!$B$8/(D9*(1-'Country data'!$B$9))))</f>
        <v>9.536202611590637E-2</v>
      </c>
      <c r="G9" s="153">
        <f t="shared" si="1"/>
        <v>0.47681013057953181</v>
      </c>
      <c r="H9" s="153">
        <f>SQRT((1.96^2)*($C$2*(1-$C$2)*'Country data'!$B$8/(E9*(1-'Country data'!$B$9))))</f>
        <v>0.13539016209149274</v>
      </c>
      <c r="I9" s="196">
        <f t="shared" si="2"/>
        <v>0.45130054030497579</v>
      </c>
      <c r="J9" s="154">
        <f>SQRT((1.96^2)*($B$3*(1-$B$3)*'Country data'!$B$8/('CoD precision'!D9*(1-'Country data'!$B$9))))</f>
        <v>3.3376709140567229E-2</v>
      </c>
      <c r="K9" s="153">
        <f t="shared" si="3"/>
        <v>0.16688354570283614</v>
      </c>
      <c r="L9" s="154">
        <f>SQRT((1.96^2)*($C$3*(1-$C$3)*'Country data'!$B$8/('CoD precision'!E9*(1-'Country data'!$B$9))))</f>
        <v>3.5912133396560776E-2</v>
      </c>
      <c r="M9" s="153">
        <f t="shared" si="3"/>
        <v>0.17956066698280387</v>
      </c>
      <c r="N9" s="155">
        <f t="shared" si="4"/>
        <v>3481.0823327354765</v>
      </c>
      <c r="O9" s="93">
        <f t="shared" si="4"/>
        <v>195.25943323216458</v>
      </c>
      <c r="P9" s="93">
        <f t="shared" si="5"/>
        <v>127.14171333882692</v>
      </c>
      <c r="Q9" s="154">
        <f>SQRT((1.96^2)*($B$2*(1-$B$2)*'Country data'!$B$8/(O9*(1-'Country data'!$B$9))))</f>
        <v>6.7431135334246037E-2</v>
      </c>
      <c r="R9" s="154">
        <f>SQRT((1.96^2)*($B$3*(1-$B$3)*'Country data'!$B$8/(O9*(1-'Country data'!$B$9))))</f>
        <v>2.3600897366986114E-2</v>
      </c>
      <c r="S9" s="154">
        <f>SQRT((1.96^2)*($C$2*(1-$C$2)*'Country data'!$B$8/(P9*(1-'Country data'!$B$9))))</f>
        <v>9.5735301720840355E-2</v>
      </c>
      <c r="T9" s="207">
        <f>SQRT((1.96^2)*($C$3*(1-$C$3)*'Country data'!$B$8/(P9*(1-'Country data'!$B$9))))</f>
        <v>2.5393713051584006E-2</v>
      </c>
    </row>
    <row r="10" spans="1:20" x14ac:dyDescent="0.35">
      <c r="A10" s="265"/>
      <c r="B10" s="28" t="str">
        <f>'Country data'!B17</f>
        <v>Region 3</v>
      </c>
      <c r="C10" s="93">
        <f>'Sample size calculation'!E6</f>
        <v>1579.9614439533591</v>
      </c>
      <c r="D10" s="93">
        <f>'Sample size calculation'!F6</f>
        <v>92.910732779784638</v>
      </c>
      <c r="E10" s="151">
        <f>'Sample size calculation'!G6</f>
        <v>63.335748949938839</v>
      </c>
      <c r="F10" s="152">
        <f>SQRT((1.96^2)*($B$2*(1-$B$2)*'Country data'!$B$8/(D10*(1-'Country data'!$B$9))))</f>
        <v>9.7753775837148435E-2</v>
      </c>
      <c r="G10" s="153">
        <f t="shared" ref="G10:G12" si="6">F10/$B$2</f>
        <v>0.48876887918574213</v>
      </c>
      <c r="H10" s="153">
        <f>SQRT((1.96^2)*($C$2*(1-$C$2)*'Country data'!$B$8/(E10*(1-'Country data'!$B$9))))</f>
        <v>0.13564121925411524</v>
      </c>
      <c r="I10" s="196">
        <f t="shared" ref="I10:I12" si="7">H10/$C$2</f>
        <v>0.45213739751371745</v>
      </c>
      <c r="J10" s="154">
        <f>SQRT((1.96^2)*($B$3*(1-$B$3)*'Country data'!$B$8/('CoD precision'!D10*(1-'Country data'!$B$9))))</f>
        <v>3.4213821543001947E-2</v>
      </c>
      <c r="K10" s="153">
        <f t="shared" ref="K10:K12" si="8">J10/$B$2</f>
        <v>0.17106910771500972</v>
      </c>
      <c r="L10" s="154">
        <f>SQRT((1.96^2)*($C$3*(1-$C$3)*'Country data'!$B$8/('CoD precision'!E10*(1-'Country data'!$B$9))))</f>
        <v>3.5978726110351668E-2</v>
      </c>
      <c r="M10" s="153">
        <f t="shared" ref="M10:M12" si="9">L10/$B$2</f>
        <v>0.17989363055175833</v>
      </c>
      <c r="N10" s="155">
        <f t="shared" si="4"/>
        <v>3159.9228879067182</v>
      </c>
      <c r="O10" s="93">
        <f t="shared" si="4"/>
        <v>185.82146555956928</v>
      </c>
      <c r="P10" s="93">
        <f t="shared" si="5"/>
        <v>126.67149789987768</v>
      </c>
      <c r="Q10" s="154">
        <f>SQRT((1.96^2)*($B$2*(1-$B$2)*'Country data'!$B$8/(O10*(1-'Country data'!$B$9))))</f>
        <v>6.9122357781037341E-2</v>
      </c>
      <c r="R10" s="154">
        <f>SQRT((1.96^2)*($B$3*(1-$B$3)*'Country data'!$B$8/(O10*(1-'Country data'!$B$9))))</f>
        <v>2.4192825223363065E-2</v>
      </c>
      <c r="S10" s="154">
        <f>SQRT((1.96^2)*($C$2*(1-$C$2)*'Country data'!$B$8/(P10*(1-'Country data'!$B$9))))</f>
        <v>9.5912825942996174E-2</v>
      </c>
      <c r="T10" s="207">
        <f>SQRT((1.96^2)*($C$3*(1-$C$3)*'Country data'!$B$8/(P10*(1-'Country data'!$B$9))))</f>
        <v>2.544080121108316E-2</v>
      </c>
    </row>
    <row r="11" spans="1:20" x14ac:dyDescent="0.35">
      <c r="A11" s="265"/>
      <c r="B11" s="28" t="str">
        <f>'Country data'!B18</f>
        <v>Region 4</v>
      </c>
      <c r="C11" s="93">
        <f>'Sample size calculation'!E7</f>
        <v>1280.6992339992887</v>
      </c>
      <c r="D11" s="93">
        <f>'Sample size calculation'!F7</f>
        <v>81.105672478215226</v>
      </c>
      <c r="E11" s="151">
        <f>'Sample size calculation'!G7</f>
        <v>62.747979651252294</v>
      </c>
      <c r="F11" s="152">
        <f>SQRT((1.96^2)*($B$2*(1-$B$2)*'Country data'!$B$8/(D11*(1-'Country data'!$B$9))))</f>
        <v>0.10462630051185383</v>
      </c>
      <c r="G11" s="153">
        <f t="shared" si="6"/>
        <v>0.5231315025592691</v>
      </c>
      <c r="H11" s="153">
        <f>SQRT((1.96^2)*($C$2*(1-$C$2)*'Country data'!$B$8/(E11*(1-'Country data'!$B$9))))</f>
        <v>0.13627502382825221</v>
      </c>
      <c r="I11" s="196">
        <f t="shared" si="7"/>
        <v>0.45425007942750739</v>
      </c>
      <c r="J11" s="154">
        <f>SQRT((1.96^2)*($B$3*(1-$B$3)*'Country data'!$B$8/('CoD precision'!D11*(1-'Country data'!$B$9))))</f>
        <v>3.661920517914883E-2</v>
      </c>
      <c r="K11" s="153">
        <f t="shared" si="8"/>
        <v>0.18309602589574414</v>
      </c>
      <c r="L11" s="154">
        <f>SQRT((1.96^2)*($C$3*(1-$C$3)*'Country data'!$B$8/('CoD precision'!E11*(1-'Country data'!$B$9))))</f>
        <v>3.6146842272280599E-2</v>
      </c>
      <c r="M11" s="153">
        <f t="shared" si="9"/>
        <v>0.180734211361403</v>
      </c>
      <c r="N11" s="155">
        <f t="shared" si="4"/>
        <v>2561.3984679985774</v>
      </c>
      <c r="O11" s="93">
        <f t="shared" si="4"/>
        <v>162.21134495643045</v>
      </c>
      <c r="P11" s="93">
        <f t="shared" si="5"/>
        <v>125.49595930250459</v>
      </c>
      <c r="Q11" s="154">
        <f>SQRT((1.96^2)*($B$2*(1-$B$2)*'Country data'!$B$8/(O11*(1-'Country data'!$B$9))))</f>
        <v>7.398196658239338E-2</v>
      </c>
      <c r="R11" s="154">
        <f>SQRT((1.96^2)*($B$3*(1-$B$3)*'Country data'!$B$8/(O11*(1-'Country data'!$B$9))))</f>
        <v>2.5893688303837682E-2</v>
      </c>
      <c r="S11" s="154">
        <f>SQRT((1.96^2)*($C$2*(1-$C$2)*'Country data'!$B$8/(P11*(1-'Country data'!$B$9))))</f>
        <v>9.6360993455315486E-2</v>
      </c>
      <c r="T11" s="207">
        <f>SQRT((1.96^2)*($C$3*(1-$C$3)*'Country data'!$B$8/(P11*(1-'Country data'!$B$9))))</f>
        <v>2.5559677289210166E-2</v>
      </c>
    </row>
    <row r="12" spans="1:20" ht="15" thickBot="1" x14ac:dyDescent="0.4">
      <c r="A12" s="265"/>
      <c r="B12" s="29" t="str">
        <f>'Country data'!B19</f>
        <v>Region 5</v>
      </c>
      <c r="C12" s="93">
        <f>'Sample size calculation'!E8</f>
        <v>1211.0433747858415</v>
      </c>
      <c r="D12" s="93">
        <f>'Sample size calculation'!F8</f>
        <v>85.45949863022922</v>
      </c>
      <c r="E12" s="151">
        <f>'Sample size calculation'!G8</f>
        <v>62.571648861646345</v>
      </c>
      <c r="F12" s="152">
        <f>SQRT((1.96^2)*($B$2*(1-$B$2)*'Country data'!$B$8/(D12*(1-'Country data'!$B$9))))</f>
        <v>0.10192631279916325</v>
      </c>
      <c r="G12" s="153">
        <f t="shared" si="6"/>
        <v>0.50963156399581622</v>
      </c>
      <c r="H12" s="153">
        <f>SQRT((1.96^2)*($C$2*(1-$C$2)*'Country data'!$B$8/(E12*(1-'Country data'!$B$9))))</f>
        <v>0.13646690447756024</v>
      </c>
      <c r="I12" s="196">
        <f t="shared" si="7"/>
        <v>0.45488968159186749</v>
      </c>
      <c r="J12" s="154">
        <f>SQRT((1.96^2)*($B$3*(1-$B$3)*'Country data'!$B$8/('CoD precision'!D12*(1-'Country data'!$B$9))))</f>
        <v>3.5674209479707134E-2</v>
      </c>
      <c r="K12" s="153">
        <f t="shared" si="8"/>
        <v>0.17837104739853565</v>
      </c>
      <c r="L12" s="154">
        <f>SQRT((1.96^2)*($C$3*(1-$C$3)*'Country data'!$B$8/('CoD precision'!E12*(1-'Country data'!$B$9))))</f>
        <v>3.6197738462725455E-2</v>
      </c>
      <c r="M12" s="153">
        <f t="shared" si="9"/>
        <v>0.18098869231362727</v>
      </c>
      <c r="N12" s="155">
        <f t="shared" si="4"/>
        <v>2422.086749571683</v>
      </c>
      <c r="O12" s="93">
        <f t="shared" si="4"/>
        <v>170.91899726045844</v>
      </c>
      <c r="P12" s="93">
        <f t="shared" si="5"/>
        <v>125.14329772329269</v>
      </c>
      <c r="Q12" s="154">
        <f>SQRT((1.96^2)*($B$2*(1-$B$2)*'Country data'!$B$8/(O12*(1-'Country data'!$B$9))))</f>
        <v>7.2072786961629526E-2</v>
      </c>
      <c r="R12" s="154">
        <f>SQRT((1.96^2)*($B$3*(1-$B$3)*'Country data'!$B$8/(O12*(1-'Country data'!$B$9))))</f>
        <v>2.5225475436570329E-2</v>
      </c>
      <c r="S12" s="154">
        <f>SQRT((1.96^2)*($C$2*(1-$C$2)*'Country data'!$B$8/(P12*(1-'Country data'!$B$9))))</f>
        <v>9.649667356361967E-2</v>
      </c>
      <c r="T12" s="207">
        <f>SQRT((1.96^2)*($C$3*(1-$C$3)*'Country data'!$B$8/(P12*(1-'Country data'!$B$9))))</f>
        <v>2.5595666330610285E-2</v>
      </c>
    </row>
    <row r="13" spans="1:20" ht="15" thickBot="1" x14ac:dyDescent="0.4">
      <c r="A13" s="261" t="s">
        <v>17</v>
      </c>
      <c r="B13" s="262"/>
      <c r="C13" s="142">
        <f>SUM(C14:C18)</f>
        <v>6629.2829183531103</v>
      </c>
      <c r="D13" s="156">
        <f t="shared" ref="D13:N13" si="10">SUM(D14:D18)</f>
        <v>524.04733158535169</v>
      </c>
      <c r="E13" s="157">
        <f t="shared" si="10"/>
        <v>415.84118814712451</v>
      </c>
      <c r="F13" s="158">
        <f>SQRT((1.96^2)*($B$2*(1-$B$2)*'Country data'!$B$8/(D13*(1-'Country data'!$B$9))))</f>
        <v>4.1160555482638327E-2</v>
      </c>
      <c r="G13" s="159">
        <f t="shared" si="1"/>
        <v>0.20580277741319161</v>
      </c>
      <c r="H13" s="159">
        <f>SQRT((1.96^2)*($C$2*(1-$C$2)*'Country data'!$B$8/(E13*(1-'Country data'!$B$9))))</f>
        <v>5.293615443516466E-2</v>
      </c>
      <c r="I13" s="197">
        <f t="shared" si="2"/>
        <v>0.17645384811721554</v>
      </c>
      <c r="J13" s="160">
        <f>SQRT((1.96^2)*($B$3*(1-$B$3)*'Country data'!$B$8/('CoD precision'!D13*(1-'Country data'!$B$9))))</f>
        <v>1.4406194418923412E-2</v>
      </c>
      <c r="K13" s="159">
        <f t="shared" si="3"/>
        <v>7.2030972094617063E-2</v>
      </c>
      <c r="L13" s="161">
        <f>SQRT((1.96^2)*($C$3*(1-$C$3)*'Country data'!$B$8/('CoD precision'!E13*(1-'Country data'!$B$9))))</f>
        <v>1.4041273089634838E-2</v>
      </c>
      <c r="M13" s="197">
        <f t="shared" si="3"/>
        <v>7.0206365448174185E-2</v>
      </c>
      <c r="N13" s="202">
        <f t="shared" si="10"/>
        <v>13258.565836706221</v>
      </c>
      <c r="O13" s="203">
        <f>SUM(O14:O18)</f>
        <v>1048.0946631707034</v>
      </c>
      <c r="P13" s="203">
        <f t="shared" si="5"/>
        <v>831.68237629424902</v>
      </c>
      <c r="Q13" s="204">
        <f>SQRT((1.96^2)*($B$2*(1-$B$2)*'Country data'!$B$8/(O13*(1-'Country data'!$B$9))))</f>
        <v>2.9104907899178689E-2</v>
      </c>
      <c r="R13" s="204">
        <f>SQRT((1.96^2)*($B$3*(1-$B$3)*'Country data'!$B$8/(O13*(1-'Country data'!$B$9))))</f>
        <v>1.0186717764712539E-2</v>
      </c>
      <c r="S13" s="204">
        <f>SQRT((1.96^2)*($C$2*(1-$C$2)*'Country data'!$B$8/(P13*(1-'Country data'!$B$9))))</f>
        <v>3.7431513771043264E-2</v>
      </c>
      <c r="T13" s="205">
        <f>SQRT((1.96^2)*($C$3*(1-$C$3)*'Country data'!$B$8/(P13*(1-'Country data'!$B$9))))</f>
        <v>9.9286794181729782E-3</v>
      </c>
    </row>
    <row r="14" spans="1:20" x14ac:dyDescent="0.35">
      <c r="A14" s="265"/>
      <c r="B14" s="39" t="str">
        <f>'Country data'!B20</f>
        <v>Region 6</v>
      </c>
      <c r="C14" s="93">
        <f>'Sample size calculation'!E9</f>
        <v>1376.879434294729</v>
      </c>
      <c r="D14" s="93">
        <f>'Sample size calculation'!F9</f>
        <v>103.39035947202761</v>
      </c>
      <c r="E14" s="151">
        <f>'Sample size calculation'!G9</f>
        <v>83.405508339918683</v>
      </c>
      <c r="F14" s="152">
        <f>SQRT((1.96^2)*($B$2*(1-$B$2)*'Country data'!$B$8/(D14*(1-'Country data'!$B$9))))</f>
        <v>9.2667289774886266E-2</v>
      </c>
      <c r="G14" s="153">
        <f t="shared" si="1"/>
        <v>0.46333644887443132</v>
      </c>
      <c r="H14" s="153">
        <f>SQRT((1.96^2)*($C$2*(1-$C$2)*'Country data'!$B$8/(E14*(1-'Country data'!$B$9))))</f>
        <v>0.11820035294223236</v>
      </c>
      <c r="I14" s="196">
        <f t="shared" si="2"/>
        <v>0.39400117647410787</v>
      </c>
      <c r="J14" s="154">
        <f>SQRT((1.96^2)*($B$3*(1-$B$3)*'Country data'!$B$8/('CoD precision'!D14*(1-'Country data'!$B$9))))</f>
        <v>3.243355142121019E-2</v>
      </c>
      <c r="K14" s="153">
        <f t="shared" si="3"/>
        <v>0.16216775710605094</v>
      </c>
      <c r="L14" s="154">
        <f>SQRT((1.96^2)*($C$3*(1-$C$3)*'Country data'!$B$8/('CoD precision'!E14*(1-'Country data'!$B$9))))</f>
        <v>3.1352550117441196E-2</v>
      </c>
      <c r="M14" s="153">
        <f t="shared" si="3"/>
        <v>0.15676275058720596</v>
      </c>
      <c r="N14" s="155">
        <f t="shared" ref="N14:O16" si="11">C14*2</f>
        <v>2753.758868589458</v>
      </c>
      <c r="O14" s="93">
        <f t="shared" si="11"/>
        <v>206.78071894405522</v>
      </c>
      <c r="P14" s="93">
        <f t="shared" si="5"/>
        <v>166.81101667983737</v>
      </c>
      <c r="Q14" s="154">
        <f>SQRT((1.96^2)*($B$2*(1-$B$2)*'Country data'!$B$8/(O14*(1-'Country data'!$B$9))))</f>
        <v>6.5525668994000891E-2</v>
      </c>
      <c r="R14" s="154">
        <f>SQRT((1.96^2)*($B$3*(1-$B$3)*'Country data'!$B$8/(O14*(1-'Country data'!$B$9))))</f>
        <v>2.2933984147900311E-2</v>
      </c>
      <c r="S14" s="154">
        <f>SQRT((1.96^2)*($C$2*(1-$C$2)*'Country data'!$B$8/(P14*(1-'Country data'!$B$9))))</f>
        <v>8.3580271104095785E-2</v>
      </c>
      <c r="T14" s="207">
        <f>SQRT((1.96^2)*($C$3*(1-$C$3)*'Country data'!$B$8/(P14*(1-'Country data'!$B$9))))</f>
        <v>2.2169600795533758E-2</v>
      </c>
    </row>
    <row r="15" spans="1:20" x14ac:dyDescent="0.35">
      <c r="A15" s="265"/>
      <c r="B15" s="40" t="str">
        <f>'Country data'!B21</f>
        <v>Region 7</v>
      </c>
      <c r="C15" s="93">
        <f>'Sample size calculation'!E10</f>
        <v>1545.0702793959458</v>
      </c>
      <c r="D15" s="93">
        <f>'Sample size calculation'!F10</f>
        <v>120.21335824143374</v>
      </c>
      <c r="E15" s="151">
        <f>'Sample size calculation'!G10</f>
        <v>83.959139997737523</v>
      </c>
      <c r="F15" s="152">
        <f>SQRT((1.96^2)*($B$2*(1-$B$2)*'Country data'!$B$8/(D15*(1-'Country data'!$B$9))))</f>
        <v>8.5938965063039427E-2</v>
      </c>
      <c r="G15" s="153">
        <f t="shared" si="1"/>
        <v>0.42969482531519709</v>
      </c>
      <c r="H15" s="153">
        <f>SQRT((1.96^2)*($C$2*(1-$C$2)*'Country data'!$B$8/(E15*(1-'Country data'!$B$9))))</f>
        <v>0.11780999822657887</v>
      </c>
      <c r="I15" s="196">
        <f t="shared" si="2"/>
        <v>0.39269999408859624</v>
      </c>
      <c r="J15" s="154">
        <f>SQRT((1.96^2)*($B$3*(1-$B$3)*'Country data'!$B$8/('CoD precision'!D15*(1-'Country data'!$B$9))))</f>
        <v>3.0078637772063793E-2</v>
      </c>
      <c r="K15" s="153">
        <f t="shared" si="3"/>
        <v>0.15039318886031897</v>
      </c>
      <c r="L15" s="154">
        <f>SQRT((1.96^2)*($C$3*(1-$C$3)*'Country data'!$B$8/('CoD precision'!E15*(1-'Country data'!$B$9))))</f>
        <v>3.1249008837897919E-2</v>
      </c>
      <c r="M15" s="153">
        <f t="shared" si="3"/>
        <v>0.15624504418948959</v>
      </c>
      <c r="N15" s="155">
        <f t="shared" si="11"/>
        <v>3090.1405587918916</v>
      </c>
      <c r="O15" s="93">
        <f t="shared" si="11"/>
        <v>240.42671648286748</v>
      </c>
      <c r="P15" s="93">
        <f t="shared" si="5"/>
        <v>167.91827999547505</v>
      </c>
      <c r="Q15" s="154">
        <f>SQRT((1.96^2)*($B$2*(1-$B$2)*'Country data'!$B$8/(O15*(1-'Country data'!$B$9))))</f>
        <v>6.0768024964228971E-2</v>
      </c>
      <c r="R15" s="154">
        <f>SQRT((1.96^2)*($B$3*(1-$B$3)*'Country data'!$B$8/(O15*(1-'Country data'!$B$9))))</f>
        <v>2.1268808737480136E-2</v>
      </c>
      <c r="S15" s="154">
        <f>SQRT((1.96^2)*($C$2*(1-$C$2)*'Country data'!$B$8/(P15*(1-'Country data'!$B$9))))</f>
        <v>8.3304248637589048E-2</v>
      </c>
      <c r="T15" s="207">
        <f>SQRT((1.96^2)*($C$3*(1-$C$3)*'Country data'!$B$8/(P15*(1-'Country data'!$B$9))))</f>
        <v>2.2096386054635975E-2</v>
      </c>
    </row>
    <row r="16" spans="1:20" x14ac:dyDescent="0.35">
      <c r="A16" s="265"/>
      <c r="B16" s="40" t="str">
        <f>'Country data'!B22</f>
        <v>Region 8</v>
      </c>
      <c r="C16" s="93">
        <f>'Sample size calculation'!E11</f>
        <v>1276.491552189306</v>
      </c>
      <c r="D16" s="93">
        <f>'Sample size calculation'!F11</f>
        <v>100.4715812536522</v>
      </c>
      <c r="E16" s="151">
        <f>'Sample size calculation'!G11</f>
        <v>83.010057155762382</v>
      </c>
      <c r="F16" s="152">
        <f>SQRT((1.96^2)*($B$2*(1-$B$2)*'Country data'!$B$8/(D16*(1-'Country data'!$B$9))))</f>
        <v>9.4003682163529778E-2</v>
      </c>
      <c r="G16" s="153">
        <f t="shared" si="1"/>
        <v>0.47001841081764889</v>
      </c>
      <c r="H16" s="153">
        <f>SQRT((1.96^2)*($C$2*(1-$C$2)*'Country data'!$B$8/(E16*(1-'Country data'!$B$9))))</f>
        <v>0.11848156545004825</v>
      </c>
      <c r="I16" s="196">
        <f t="shared" si="2"/>
        <v>0.39493855150016083</v>
      </c>
      <c r="J16" s="154">
        <f>SQRT((1.96^2)*($B$3*(1-$B$3)*'Country data'!$B$8/('CoD precision'!D16*(1-'Country data'!$B$9))))</f>
        <v>3.2901288757235414E-2</v>
      </c>
      <c r="K16" s="153">
        <f t="shared" si="3"/>
        <v>0.16450644378617707</v>
      </c>
      <c r="L16" s="154">
        <f>SQRT((1.96^2)*($C$3*(1-$C$3)*'Country data'!$B$8/('CoD precision'!E16*(1-'Country data'!$B$9))))</f>
        <v>3.1427141512690736E-2</v>
      </c>
      <c r="M16" s="153">
        <f t="shared" si="3"/>
        <v>0.15713570756345366</v>
      </c>
      <c r="N16" s="155">
        <f t="shared" si="11"/>
        <v>2552.9831043786121</v>
      </c>
      <c r="O16" s="93">
        <f t="shared" si="11"/>
        <v>200.94316250730441</v>
      </c>
      <c r="P16" s="93">
        <f t="shared" si="5"/>
        <v>166.02011431152476</v>
      </c>
      <c r="Q16" s="154">
        <f>SQRT((1.96^2)*($B$2*(1-$B$2)*'Country data'!$B$8/(O16*(1-'Country data'!$B$9))))</f>
        <v>6.6470641114336815E-2</v>
      </c>
      <c r="R16" s="154">
        <f>SQRT((1.96^2)*($B$3*(1-$B$3)*'Country data'!$B$8/(O16*(1-'Country data'!$B$9))))</f>
        <v>2.326472439001788E-2</v>
      </c>
      <c r="S16" s="154">
        <f>SQRT((1.96^2)*($C$2*(1-$C$2)*'Country data'!$B$8/(P16*(1-'Country data'!$B$9))))</f>
        <v>8.377911837532688E-2</v>
      </c>
      <c r="T16" s="207">
        <f>SQRT((1.96^2)*($C$3*(1-$C$3)*'Country data'!$B$8/(P16*(1-'Country data'!$B$9))))</f>
        <v>2.2222344876932872E-2</v>
      </c>
    </row>
    <row r="17" spans="1:20" x14ac:dyDescent="0.35">
      <c r="A17" s="265"/>
      <c r="B17" s="40" t="str">
        <f>'Country data'!B23</f>
        <v>Region 9</v>
      </c>
      <c r="C17" s="93">
        <f>'Sample size calculation'!E12</f>
        <v>1258.0418873699307</v>
      </c>
      <c r="D17" s="93">
        <f>'Sample size calculation'!F12</f>
        <v>101.29573217194192</v>
      </c>
      <c r="E17" s="151">
        <f>'Sample size calculation'!G12</f>
        <v>82.930966918931091</v>
      </c>
      <c r="F17" s="152">
        <f>SQRT((1.96^2)*($B$2*(1-$B$2)*'Country data'!$B$8/(D17*(1-'Country data'!$B$9))))</f>
        <v>9.3620490069129828E-2</v>
      </c>
      <c r="G17" s="153">
        <f t="shared" ref="G17:G18" si="12">F17/$B$2</f>
        <v>0.46810245034564912</v>
      </c>
      <c r="H17" s="153">
        <f>SQRT((1.96^2)*($C$2*(1-$C$2)*'Country data'!$B$8/(E17*(1-'Country data'!$B$9))))</f>
        <v>0.11853804918764262</v>
      </c>
      <c r="I17" s="196">
        <f t="shared" ref="I17:I18" si="13">H17/$C$2</f>
        <v>0.39512683062547538</v>
      </c>
      <c r="J17" s="154">
        <f>SQRT((1.96^2)*($B$3*(1-$B$3)*'Country data'!$B$8/('CoD precision'!D17*(1-'Country data'!$B$9))))</f>
        <v>3.2767171524195435E-2</v>
      </c>
      <c r="K17" s="153">
        <f t="shared" ref="K17:K18" si="14">J17/$B$2</f>
        <v>0.16383585762097716</v>
      </c>
      <c r="L17" s="154">
        <f>SQRT((1.96^2)*($C$3*(1-$C$3)*'Country data'!$B$8/('CoD precision'!E17*(1-'Country data'!$B$9))))</f>
        <v>3.1442123779407097E-2</v>
      </c>
      <c r="M17" s="153">
        <f t="shared" ref="M17:M18" si="15">L17/$B$2</f>
        <v>0.15721061889703547</v>
      </c>
      <c r="N17" s="155">
        <f t="shared" ref="N17:N18" si="16">C17*2</f>
        <v>2516.0837747398614</v>
      </c>
      <c r="O17" s="93">
        <f t="shared" ref="O17:O18" si="17">D17*2</f>
        <v>202.59146434388384</v>
      </c>
      <c r="P17" s="93">
        <f t="shared" ref="P17:P18" si="18">E17*2</f>
        <v>165.86193383786218</v>
      </c>
      <c r="Q17" s="154">
        <f>SQRT((1.96^2)*($B$2*(1-$B$2)*'Country data'!$B$8/(O17*(1-'Country data'!$B$9))))</f>
        <v>6.6199683385889524E-2</v>
      </c>
      <c r="R17" s="154">
        <f>SQRT((1.96^2)*($B$3*(1-$B$3)*'Country data'!$B$8/(O17*(1-'Country data'!$B$9))))</f>
        <v>2.316988918506133E-2</v>
      </c>
      <c r="S17" s="154">
        <f>SQRT((1.96^2)*($C$2*(1-$C$2)*'Country data'!$B$8/(P17*(1-'Country data'!$B$9))))</f>
        <v>8.3819058409206615E-2</v>
      </c>
      <c r="T17" s="207">
        <f>SQRT((1.96^2)*($C$3*(1-$C$3)*'Country data'!$B$8/(P17*(1-'Country data'!$B$9))))</f>
        <v>2.2232938939325556E-2</v>
      </c>
    </row>
    <row r="18" spans="1:20" ht="15" thickBot="1" x14ac:dyDescent="0.4">
      <c r="A18" s="265"/>
      <c r="B18" s="41" t="str">
        <f>'Country data'!B24</f>
        <v>Region 10</v>
      </c>
      <c r="C18" s="93">
        <f>'Sample size calculation'!E13</f>
        <v>1172.7997651031985</v>
      </c>
      <c r="D18" s="93">
        <f>'Sample size calculation'!F13</f>
        <v>98.676300446296182</v>
      </c>
      <c r="E18" s="151">
        <f>'Sample size calculation'!G13</f>
        <v>82.535515734774819</v>
      </c>
      <c r="F18" s="152">
        <f>SQRT((1.96^2)*($B$2*(1-$B$2)*'Country data'!$B$8/(D18*(1-'Country data'!$B$9))))</f>
        <v>9.4854962089746003E-2</v>
      </c>
      <c r="G18" s="153">
        <f t="shared" si="12"/>
        <v>0.47427481044872999</v>
      </c>
      <c r="H18" s="153">
        <f>SQRT((1.96^2)*($C$2*(1-$C$2)*'Country data'!$B$8/(E18*(1-'Country data'!$B$9))))</f>
        <v>0.1188216846416026</v>
      </c>
      <c r="I18" s="196">
        <f t="shared" si="13"/>
        <v>0.39607228213867535</v>
      </c>
      <c r="J18" s="154">
        <f>SQRT((1.96^2)*($B$3*(1-$B$3)*'Country data'!$B$8/('CoD precision'!D18*(1-'Country data'!$B$9))))</f>
        <v>3.3199236731411098E-2</v>
      </c>
      <c r="K18" s="153">
        <f t="shared" si="14"/>
        <v>0.16599618365705548</v>
      </c>
      <c r="L18" s="154">
        <f>SQRT((1.96^2)*($C$3*(1-$C$3)*'Country data'!$B$8/('CoD precision'!E18*(1-'Country data'!$B$9))))</f>
        <v>3.1517357859204724E-2</v>
      </c>
      <c r="M18" s="153">
        <f t="shared" si="15"/>
        <v>0.1575867892960236</v>
      </c>
      <c r="N18" s="155">
        <f t="shared" si="16"/>
        <v>2345.599530206397</v>
      </c>
      <c r="O18" s="93">
        <f t="shared" si="17"/>
        <v>197.35260089259236</v>
      </c>
      <c r="P18" s="93">
        <f t="shared" si="18"/>
        <v>165.07103146954964</v>
      </c>
      <c r="Q18" s="154">
        <f>SQRT((1.96^2)*($B$2*(1-$B$2)*'Country data'!$B$8/(O18*(1-'Country data'!$B$9))))</f>
        <v>6.7072586922852298E-2</v>
      </c>
      <c r="R18" s="154">
        <f>SQRT((1.96^2)*($B$3*(1-$B$3)*'Country data'!$B$8/(O18*(1-'Country data'!$B$9))))</f>
        <v>2.3475405422998301E-2</v>
      </c>
      <c r="S18" s="154">
        <f>SQRT((1.96^2)*($C$2*(1-$C$2)*'Country data'!$B$8/(P18*(1-'Country data'!$B$9))))</f>
        <v>8.4019618962086651E-2</v>
      </c>
      <c r="T18" s="207">
        <f>SQRT((1.96^2)*($C$3*(1-$C$3)*'Country data'!$B$8/(P18*(1-'Country data'!$B$9))))</f>
        <v>2.2286137467326789E-2</v>
      </c>
    </row>
    <row r="19" spans="1:20" s="14" customFormat="1" ht="15" thickBot="1" x14ac:dyDescent="0.4">
      <c r="A19" s="263" t="s">
        <v>18</v>
      </c>
      <c r="B19" s="264"/>
      <c r="C19" s="143">
        <f>SUM(C20:C24)</f>
        <v>29319.253778735147</v>
      </c>
      <c r="D19" s="162">
        <f t="shared" ref="D19:E19" si="19">SUM(D20:D24)</f>
        <v>2470.0889568586908</v>
      </c>
      <c r="E19" s="163">
        <f t="shared" si="19"/>
        <v>1884.2553421555729</v>
      </c>
      <c r="F19" s="164">
        <f>SQRT((1.96^2)*($B$2*(1-$B$2)*'Country data'!$B$8/(D19*(1-'Country data'!$B$9))))</f>
        <v>1.8958771273275957E-2</v>
      </c>
      <c r="G19" s="165">
        <f t="shared" si="1"/>
        <v>9.4793856366379783E-2</v>
      </c>
      <c r="H19" s="165">
        <f>SQRT((1.96^2)*($C$2*(1-$C$2)*'Country data'!$B$8/(E19*(1-'Country data'!$B$9))))</f>
        <v>2.4868309429639572E-2</v>
      </c>
      <c r="I19" s="198">
        <f t="shared" si="2"/>
        <v>8.2894364765465245E-2</v>
      </c>
      <c r="J19" s="166">
        <f>SQRT((1.96^2)*($B$3*(1-$B$3)*'Country data'!$B$8/('CoD precision'!D19*(1-'Country data'!$B$9))))</f>
        <v>6.6355699456465836E-3</v>
      </c>
      <c r="K19" s="165">
        <f t="shared" si="3"/>
        <v>3.3177849728232914E-2</v>
      </c>
      <c r="L19" s="167">
        <f>SQRT((1.96^2)*($C$3*(1-$C$3)*'Country data'!$B$8/('CoD precision'!E19*(1-'Country data'!$B$9))))</f>
        <v>6.5962994045361519E-3</v>
      </c>
      <c r="M19" s="198">
        <f t="shared" si="3"/>
        <v>3.2981497022680759E-2</v>
      </c>
      <c r="N19" s="143">
        <f>SUM(N20:N24)</f>
        <v>58638.507557470293</v>
      </c>
      <c r="O19" s="162">
        <f>SUM(O20:O24)</f>
        <v>4940.1779137173817</v>
      </c>
      <c r="P19" s="162">
        <f t="shared" si="5"/>
        <v>3768.5106843111457</v>
      </c>
      <c r="Q19" s="167">
        <f>SQRT((1.96^2)*($B$2*(1-$B$2)*'Country data'!$B$8/(O19*(1-'Country data'!$B$9))))</f>
        <v>1.3405875730298144E-2</v>
      </c>
      <c r="R19" s="167">
        <f>SQRT((1.96^2)*($B$3*(1-$B$3)*'Country data'!$B$8/(O19*(1-'Country data'!$B$9))))</f>
        <v>4.6920565056043501E-3</v>
      </c>
      <c r="S19" s="167">
        <f>SQRT((1.96^2)*($C$2*(1-$C$2)*'Country data'!$B$8/(P19*(1-'Country data'!$B$9))))</f>
        <v>1.7584550234343507E-2</v>
      </c>
      <c r="T19" s="168">
        <f>SQRT((1.96^2)*($C$3*(1-$C$3)*'Country data'!$B$8/(P19*(1-'Country data'!$B$9))))</f>
        <v>4.6642880396842983E-3</v>
      </c>
    </row>
    <row r="20" spans="1:20" x14ac:dyDescent="0.35">
      <c r="A20" s="266"/>
      <c r="B20" s="42" t="str">
        <f>'Country data'!B25</f>
        <v>Region 11</v>
      </c>
      <c r="C20" s="93">
        <f>'Sample size calculation'!E14</f>
        <v>1783.8274335313226</v>
      </c>
      <c r="D20" s="93">
        <f>'Sample size calculation'!F14</f>
        <v>164.61107465540033</v>
      </c>
      <c r="E20" s="151">
        <f>'Sample size calculation'!G14</f>
        <v>128.71458634548793</v>
      </c>
      <c r="F20" s="152">
        <f>SQRT((1.96^2)*($B$2*(1-$B$2)*'Country data'!$B$8/(D20*(1-'Country data'!$B$9))))</f>
        <v>7.3440725590415812E-2</v>
      </c>
      <c r="G20" s="153">
        <f t="shared" si="1"/>
        <v>0.36720362795207906</v>
      </c>
      <c r="H20" s="153">
        <f>SQRT((1.96^2)*($C$2*(1-$C$2)*'Country data'!$B$8/(E20*(1-'Country data'!$B$9))))</f>
        <v>9.5148568223432498E-2</v>
      </c>
      <c r="I20" s="196">
        <f t="shared" si="2"/>
        <v>0.31716189407810835</v>
      </c>
      <c r="J20" s="154">
        <f>SQRT((1.96^2)*($B$3*(1-$B$3)*'Country data'!$B$8/('CoD precision'!D20*(1-'Country data'!$B$9))))</f>
        <v>2.570425395664553E-2</v>
      </c>
      <c r="K20" s="153">
        <f t="shared" si="3"/>
        <v>0.12852126978322764</v>
      </c>
      <c r="L20" s="154">
        <f>SQRT((1.96^2)*($C$3*(1-$C$3)*'Country data'!$B$8/('CoD precision'!E20*(1-'Country data'!$B$9))))</f>
        <v>2.523808245552266E-2</v>
      </c>
      <c r="M20" s="153">
        <f t="shared" si="3"/>
        <v>0.1261904122776133</v>
      </c>
      <c r="N20" s="155">
        <f t="shared" ref="N20:O25" si="20">C20*2</f>
        <v>3567.6548670626453</v>
      </c>
      <c r="O20" s="93">
        <f t="shared" si="20"/>
        <v>329.22214931080066</v>
      </c>
      <c r="P20" s="93">
        <f t="shared" si="5"/>
        <v>257.42917269097586</v>
      </c>
      <c r="Q20" s="154">
        <f>SQRT((1.96^2)*($B$2*(1-$B$2)*'Country data'!$B$8/(O20*(1-'Country data'!$B$9))))</f>
        <v>5.1930435080243434E-2</v>
      </c>
      <c r="R20" s="154">
        <f>SQRT((1.96^2)*($B$3*(1-$B$3)*'Country data'!$B$8/(O20*(1-'Country data'!$B$9))))</f>
        <v>1.8175652278085198E-2</v>
      </c>
      <c r="S20" s="154">
        <f>SQRT((1.96^2)*($C$2*(1-$C$2)*'Country data'!$B$8/(P20*(1-'Country data'!$B$9))))</f>
        <v>6.7280197810979978E-2</v>
      </c>
      <c r="T20" s="207">
        <f>SQRT((1.96^2)*($C$3*(1-$C$3)*'Country data'!$B$8/(P20*(1-'Country data'!$B$9))))</f>
        <v>1.7846019248445304E-2</v>
      </c>
    </row>
    <row r="21" spans="1:20" x14ac:dyDescent="0.35">
      <c r="A21" s="265"/>
      <c r="B21" s="30" t="str">
        <f>'Country data'!B26</f>
        <v>Region 12</v>
      </c>
      <c r="C21" s="93">
        <f>'Sample size calculation'!E15</f>
        <v>1760.381678921862</v>
      </c>
      <c r="D21" s="93">
        <f>'Sample size calculation'!F15</f>
        <v>168.81799774768137</v>
      </c>
      <c r="E21" s="151">
        <f>'Sample size calculation'!G15</f>
        <v>128.5910078504391</v>
      </c>
      <c r="F21" s="152">
        <f>SQRT((1.96^2)*($B$2*(1-$B$2)*'Country data'!$B$8/(D21*(1-'Country data'!$B$9))))</f>
        <v>7.2519885811791168E-2</v>
      </c>
      <c r="G21" s="153">
        <f t="shared" si="1"/>
        <v>0.36259942905895581</v>
      </c>
      <c r="H21" s="153">
        <f>SQRT((1.96^2)*($C$2*(1-$C$2)*'Country data'!$B$8/(E21*(1-'Country data'!$B$9))))</f>
        <v>9.5194277069745398E-2</v>
      </c>
      <c r="I21" s="196">
        <f t="shared" si="2"/>
        <v>0.31731425689915133</v>
      </c>
      <c r="J21" s="154">
        <f>SQRT((1.96^2)*($B$3*(1-$B$3)*'Country data'!$B$8/('CoD precision'!D21*(1-'Country data'!$B$9))))</f>
        <v>2.5381960034126905E-2</v>
      </c>
      <c r="K21" s="153">
        <f t="shared" si="3"/>
        <v>0.12690980017063452</v>
      </c>
      <c r="L21" s="154">
        <f>SQRT((1.96^2)*($C$3*(1-$C$3)*'Country data'!$B$8/('CoD precision'!E21*(1-'Country data'!$B$9))))</f>
        <v>2.5250206690849909E-2</v>
      </c>
      <c r="M21" s="153">
        <f t="shared" si="3"/>
        <v>0.12625103345424954</v>
      </c>
      <c r="N21" s="155">
        <f t="shared" si="20"/>
        <v>3520.763357843724</v>
      </c>
      <c r="O21" s="93">
        <f t="shared" si="20"/>
        <v>337.63599549536275</v>
      </c>
      <c r="P21" s="93">
        <f t="shared" si="5"/>
        <v>257.1820157008782</v>
      </c>
      <c r="Q21" s="154">
        <f>SQRT((1.96^2)*($B$2*(1-$B$2)*'Country data'!$B$8/(O21*(1-'Country data'!$B$9))))</f>
        <v>5.1279303028391628E-2</v>
      </c>
      <c r="R21" s="154">
        <f>SQRT((1.96^2)*($B$3*(1-$B$3)*'Country data'!$B$8/(O21*(1-'Country data'!$B$9))))</f>
        <v>1.7947756059937068E-2</v>
      </c>
      <c r="S21" s="154">
        <f>SQRT((1.96^2)*($C$2*(1-$C$2)*'Country data'!$B$8/(P21*(1-'Country data'!$B$9))))</f>
        <v>6.731251884616804E-2</v>
      </c>
      <c r="T21" s="207">
        <f>SQRT((1.96^2)*($C$3*(1-$C$3)*'Country data'!$B$8/(P21*(1-'Country data'!$B$9))))</f>
        <v>1.7854592377461904E-2</v>
      </c>
    </row>
    <row r="22" spans="1:20" x14ac:dyDescent="0.35">
      <c r="A22" s="265"/>
      <c r="B22" s="30" t="str">
        <f>'Country data'!B27</f>
        <v>Region 13</v>
      </c>
      <c r="C22" s="93">
        <f>'Sample size calculation'!E17</f>
        <v>1672.0511615559874</v>
      </c>
      <c r="D22" s="93">
        <f>'Sample size calculation'!F17</f>
        <v>170.93619999769336</v>
      </c>
      <c r="E22" s="151">
        <f>'Sample size calculation'!G17</f>
        <v>128.09669387024371</v>
      </c>
      <c r="F22" s="152">
        <f>SQRT((1.96^2)*($B$2*(1-$B$2)*'Country data'!$B$8/(D22*(1-'Country data'!$B$9))))</f>
        <v>7.2069160227176632E-2</v>
      </c>
      <c r="G22" s="153">
        <f t="shared" si="1"/>
        <v>0.36034580113588316</v>
      </c>
      <c r="H22" s="153">
        <f>SQRT((1.96^2)*($C$2*(1-$C$2)*'Country data'!$B$8/(E22*(1-'Country data'!$B$9))))</f>
        <v>9.5377773426408255E-2</v>
      </c>
      <c r="I22" s="196">
        <f t="shared" si="2"/>
        <v>0.31792591142136084</v>
      </c>
      <c r="J22" s="154">
        <f>SQRT((1.96^2)*($B$3*(1-$B$3)*'Country data'!$B$8/('CoD precision'!D22*(1-'Country data'!$B$9))))</f>
        <v>2.522420607951182E-2</v>
      </c>
      <c r="K22" s="153">
        <f t="shared" ref="K22:K24" si="21">J22/$B$2</f>
        <v>0.12612103039755909</v>
      </c>
      <c r="L22" s="154">
        <f>SQRT((1.96^2)*($C$3*(1-$C$3)*'Country data'!$B$8/('CoD precision'!E22*(1-'Country data'!$B$9))))</f>
        <v>2.5298878954302894E-2</v>
      </c>
      <c r="M22" s="153">
        <f t="shared" ref="M22:M24" si="22">L22/$B$2</f>
        <v>0.12649439477151447</v>
      </c>
      <c r="N22" s="155">
        <f t="shared" si="20"/>
        <v>3344.1023231119748</v>
      </c>
      <c r="O22" s="93">
        <f t="shared" si="20"/>
        <v>341.87239999538673</v>
      </c>
      <c r="P22" s="93">
        <f t="shared" si="5"/>
        <v>256.19338774048742</v>
      </c>
      <c r="Q22" s="154">
        <f>SQRT((1.96^2)*($B$2*(1-$B$2)*'Country data'!$B$8/(O22*(1-'Country data'!$B$9))))</f>
        <v>5.0960591911056424E-2</v>
      </c>
      <c r="R22" s="154">
        <f>SQRT((1.96^2)*($B$3*(1-$B$3)*'Country data'!$B$8/(O22*(1-'Country data'!$B$9))))</f>
        <v>1.7836207168869744E-2</v>
      </c>
      <c r="S22" s="154">
        <f>SQRT((1.96^2)*($C$2*(1-$C$2)*'Country data'!$B$8/(P22*(1-'Country data'!$B$9))))</f>
        <v>6.7442270364287377E-2</v>
      </c>
      <c r="T22" s="207">
        <f>SQRT((1.96^2)*($C$3*(1-$C$3)*'Country data'!$B$8/(P22*(1-'Country data'!$B$9))))</f>
        <v>1.7889008865005208E-2</v>
      </c>
    </row>
    <row r="23" spans="1:20" x14ac:dyDescent="0.35">
      <c r="A23" s="265"/>
      <c r="B23" s="30" t="str">
        <f>'Country data'!B28</f>
        <v>Region 14</v>
      </c>
      <c r="C23" s="93">
        <f>'Sample size calculation'!E18</f>
        <v>1500.5039988822625</v>
      </c>
      <c r="D23" s="93">
        <f>'Sample size calculation'!F18</f>
        <v>160.18623881688086</v>
      </c>
      <c r="E23" s="151">
        <f>'Sample size calculation'!G18</f>
        <v>126.98448741480409</v>
      </c>
      <c r="F23" s="152">
        <f>SQRT((1.96^2)*($B$2*(1-$B$2)*'Country data'!$B$8/(D23*(1-'Country data'!$B$9))))</f>
        <v>7.4448145162439472E-2</v>
      </c>
      <c r="G23" s="153">
        <f t="shared" ref="G23:G24" si="23">F23/$B$2</f>
        <v>0.37224072581219736</v>
      </c>
      <c r="H23" s="153">
        <f>SQRT((1.96^2)*($C$2*(1-$C$2)*'Country data'!$B$8/(E23*(1-'Country data'!$B$9))))</f>
        <v>9.5794550749128168E-2</v>
      </c>
      <c r="I23" s="196">
        <f t="shared" ref="I23:I24" si="24">H23/$C$2</f>
        <v>0.31931516916376057</v>
      </c>
      <c r="J23" s="154">
        <f>SQRT((1.96^2)*($B$3*(1-$B$3)*'Country data'!$B$8/('CoD precision'!D23*(1-'Country data'!$B$9))))</f>
        <v>2.6056850806853809E-2</v>
      </c>
      <c r="K23" s="153">
        <f t="shared" si="21"/>
        <v>0.13028425403426905</v>
      </c>
      <c r="L23" s="154">
        <f>SQRT((1.96^2)*($C$3*(1-$C$3)*'Country data'!$B$8/('CoD precision'!E23*(1-'Country data'!$B$9))))</f>
        <v>2.5409428809469361E-2</v>
      </c>
      <c r="M23" s="153">
        <f t="shared" si="22"/>
        <v>0.12704714404734679</v>
      </c>
      <c r="N23" s="155">
        <f t="shared" ref="N23:N24" si="25">C23*2</f>
        <v>3001.007997764525</v>
      </c>
      <c r="O23" s="93">
        <f t="shared" ref="O23:O24" si="26">D23*2</f>
        <v>320.37247763376172</v>
      </c>
      <c r="P23" s="93">
        <f t="shared" ref="P23:P24" si="27">E23*2</f>
        <v>253.96897482960819</v>
      </c>
      <c r="Q23" s="154">
        <f>SQRT((1.96^2)*($B$2*(1-$B$2)*'Country data'!$B$8/(O23*(1-'Country data'!$B$9))))</f>
        <v>5.2642788291121415E-2</v>
      </c>
      <c r="R23" s="154">
        <f>SQRT((1.96^2)*($B$3*(1-$B$3)*'Country data'!$B$8/(O23*(1-'Country data'!$B$9))))</f>
        <v>1.8424975901892491E-2</v>
      </c>
      <c r="S23" s="154">
        <f>SQRT((1.96^2)*($C$2*(1-$C$2)*'Country data'!$B$8/(P23*(1-'Country data'!$B$9))))</f>
        <v>6.7736976435427393E-2</v>
      </c>
      <c r="T23" s="207">
        <f>SQRT((1.96^2)*($C$3*(1-$C$3)*'Country data'!$B$8/(P23*(1-'Country data'!$B$9))))</f>
        <v>1.7967179417252611E-2</v>
      </c>
    </row>
    <row r="24" spans="1:20" ht="15" thickBot="1" x14ac:dyDescent="0.4">
      <c r="A24" s="267"/>
      <c r="B24" s="30" t="str">
        <f>'Country data'!B29</f>
        <v>Region 15</v>
      </c>
      <c r="C24" s="93">
        <f>'Sample size calculation'!E19</f>
        <v>22602.489505843711</v>
      </c>
      <c r="D24" s="93">
        <f>'Sample size calculation'!F19</f>
        <v>1805.5374456410348</v>
      </c>
      <c r="E24" s="151">
        <f>'Sample size calculation'!G19</f>
        <v>1371.868566674598</v>
      </c>
      <c r="F24" s="169">
        <f>SQRT((1.96^2)*($B$2*(1-$B$2)*'Country data'!$B$8/(D24*(1-'Country data'!$B$9))))</f>
        <v>2.2174979866993887E-2</v>
      </c>
      <c r="G24" s="170">
        <f t="shared" si="23"/>
        <v>0.11087489933496943</v>
      </c>
      <c r="H24" s="170">
        <f>SQRT((1.96^2)*($C$2*(1-$C$2)*'Country data'!$B$8/(E24*(1-'Country data'!$B$9))))</f>
        <v>2.9144720012647268E-2</v>
      </c>
      <c r="I24" s="199">
        <f t="shared" si="24"/>
        <v>9.7149066708824228E-2</v>
      </c>
      <c r="J24" s="154">
        <f>SQRT((1.96^2)*($B$3*(1-$B$3)*'Country data'!$B$8/('CoD precision'!D24*(1-'Country data'!$B$9))))</f>
        <v>7.7612429534478587E-3</v>
      </c>
      <c r="K24" s="153">
        <f t="shared" si="21"/>
        <v>3.8806214767239292E-2</v>
      </c>
      <c r="L24" s="154">
        <f>SQRT((1.96^2)*($C$3*(1-$C$3)*'Country data'!$B$8/('CoD precision'!E24*(1-'Country data'!$B$9))))</f>
        <v>7.7306139288932105E-3</v>
      </c>
      <c r="M24" s="153">
        <f t="shared" si="22"/>
        <v>3.8653069644466048E-2</v>
      </c>
      <c r="N24" s="155">
        <f t="shared" si="25"/>
        <v>45204.979011687421</v>
      </c>
      <c r="O24" s="93">
        <f t="shared" si="26"/>
        <v>3611.0748912820695</v>
      </c>
      <c r="P24" s="93">
        <f t="shared" si="27"/>
        <v>2743.737133349196</v>
      </c>
      <c r="Q24" s="154">
        <f>SQRT((1.96^2)*($B$2*(1-$B$2)*'Country data'!$B$8/(O24*(1-'Country data'!$B$9))))</f>
        <v>1.5680078636626543E-2</v>
      </c>
      <c r="R24" s="154">
        <f>SQRT((1.96^2)*($B$3*(1-$B$3)*'Country data'!$B$8/(O24*(1-'Country data'!$B$9))))</f>
        <v>5.4880275228192891E-3</v>
      </c>
      <c r="S24" s="154">
        <f>SQRT((1.96^2)*($C$2*(1-$C$2)*'Country data'!$B$8/(P24*(1-'Country data'!$B$9))))</f>
        <v>2.0608429156726164E-2</v>
      </c>
      <c r="T24" s="207">
        <f>SQRT((1.96^2)*($C$3*(1-$C$3)*'Country data'!$B$8/(P24*(1-'Country data'!$B$9))))</f>
        <v>5.4663695318555678E-3</v>
      </c>
    </row>
    <row r="25" spans="1:20" s="14" customFormat="1" ht="15" thickBot="1" x14ac:dyDescent="0.4">
      <c r="B25" s="193" t="str">
        <f>'[1]Presentation-1'!B18</f>
        <v>Total</v>
      </c>
      <c r="C25" s="144">
        <f>SUM(C8:C12,C14:C18,C20:C24)</f>
        <v>43593.965230108981</v>
      </c>
      <c r="D25" s="171">
        <f>SUM(D8:D12,D14:D18,D20:D24)</f>
        <v>3450.7510977038373</v>
      </c>
      <c r="E25" s="171">
        <f>SUM(E8:E12,E14:E18,E20:E24)</f>
        <v>2616.0111749640992</v>
      </c>
      <c r="F25" s="172">
        <f>SQRT((1.96^2)*($B$2*(1-$B$2)*'Country data'!$B$8/(D25*(1-'Country data'!$B$9))))</f>
        <v>1.6040195850717569E-2</v>
      </c>
      <c r="G25" s="173">
        <f t="shared" si="1"/>
        <v>8.0200979253587837E-2</v>
      </c>
      <c r="H25" s="173">
        <f>SQRT((1.96^2)*($C$2*(1-$C$2)*'Country data'!$B$8/(E25*(1-'Country data'!$B$9))))</f>
        <v>2.1105533894636486E-2</v>
      </c>
      <c r="I25" s="173">
        <f t="shared" si="2"/>
        <v>7.035177964878829E-2</v>
      </c>
      <c r="J25" s="200">
        <f>SQRT((1.96^2)*($B$3*(1-$B$3)*'Country data'!$B$8/('CoD precision'!D25*(1-'Country data'!$B$9))))</f>
        <v>5.614068547751149E-3</v>
      </c>
      <c r="K25" s="173">
        <f t="shared" si="3"/>
        <v>2.8070342738755742E-2</v>
      </c>
      <c r="L25" s="174">
        <f>SQRT((1.96^2)*($C$3*(1-$C$3)*'Country data'!$B$8/('CoD precision'!E25*(1-'Country data'!$B$9))))</f>
        <v>5.598226170359581E-3</v>
      </c>
      <c r="M25" s="201">
        <f t="shared" si="3"/>
        <v>2.7991130851797903E-2</v>
      </c>
      <c r="N25" s="175">
        <f t="shared" si="20"/>
        <v>87187.930460217962</v>
      </c>
      <c r="O25" s="176">
        <f t="shared" si="20"/>
        <v>6901.5021954076747</v>
      </c>
      <c r="P25" s="176">
        <f t="shared" si="5"/>
        <v>5232.0223499281983</v>
      </c>
      <c r="Q25" s="174">
        <f>SQRT((1.96^2)*($B$2*(1-$B$2)*'Country data'!$B$8/(O25*(1-'Country data'!$B$9))))</f>
        <v>1.1342131257602717E-2</v>
      </c>
      <c r="R25" s="174">
        <f>SQRT((1.96^2)*($B$3*(1-$B$3)*'Country data'!$B$8/(O25*(1-'Country data'!$B$9))))</f>
        <v>3.9697459401609502E-3</v>
      </c>
      <c r="S25" s="174">
        <f>SQRT((1.96^2)*($C$2*(1-$C$2)*'Country data'!$B$8/(P25*(1-'Country data'!$B$9))))</f>
        <v>1.4923866137459984E-2</v>
      </c>
      <c r="T25" s="206">
        <f>SQRT((1.96^2)*($C$3*(1-$C$3)*'Country data'!$B$8/(P25*(1-'Country data'!$B$9))))</f>
        <v>3.9585436876772564E-3</v>
      </c>
    </row>
    <row r="26" spans="1:20" x14ac:dyDescent="0.35">
      <c r="B26" s="14"/>
      <c r="C26" s="16"/>
      <c r="D26" s="16"/>
      <c r="E26" s="16"/>
      <c r="F26" s="18"/>
      <c r="G26" s="17"/>
      <c r="H26" s="15"/>
      <c r="I26" s="17"/>
      <c r="J26" s="17"/>
    </row>
    <row r="27" spans="1:20" ht="14.4" customHeight="1" x14ac:dyDescent="0.35">
      <c r="B27" s="260" t="s">
        <v>75</v>
      </c>
      <c r="C27" s="260"/>
      <c r="D27" s="260"/>
      <c r="E27" s="260"/>
      <c r="F27" s="260"/>
      <c r="G27" s="260"/>
      <c r="H27" s="260"/>
      <c r="I27" s="260"/>
      <c r="J27" s="260"/>
      <c r="K27" s="260"/>
      <c r="L27" s="260"/>
      <c r="M27" s="260"/>
      <c r="N27" s="260"/>
      <c r="O27" s="260"/>
      <c r="P27" s="260"/>
      <c r="Q27" s="10"/>
    </row>
    <row r="30" spans="1:20" x14ac:dyDescent="0.35">
      <c r="H30" s="44"/>
      <c r="I30" s="44"/>
    </row>
  </sheetData>
  <mergeCells count="14">
    <mergeCell ref="J5:M5"/>
    <mergeCell ref="E1:K3"/>
    <mergeCell ref="N5:T5"/>
    <mergeCell ref="B27:P27"/>
    <mergeCell ref="A13:B13"/>
    <mergeCell ref="A19:B19"/>
    <mergeCell ref="A14:A18"/>
    <mergeCell ref="A20:A24"/>
    <mergeCell ref="A8:A12"/>
    <mergeCell ref="A7:B7"/>
    <mergeCell ref="C5:E5"/>
    <mergeCell ref="F5:I5"/>
    <mergeCell ref="A5:A6"/>
    <mergeCell ref="B5:B6"/>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Country data</vt:lpstr>
      <vt:lpstr>Sample size calculation</vt:lpstr>
      <vt:lpstr>CoD precision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Malick Kante</dc:creator>
  <cp:lastModifiedBy>Kelsey Zack</cp:lastModifiedBy>
  <dcterms:created xsi:type="dcterms:W3CDTF">2025-09-03T12:42:21Z</dcterms:created>
  <dcterms:modified xsi:type="dcterms:W3CDTF">2025-09-22T15:45:59Z</dcterms:modified>
</cp:coreProperties>
</file>